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ocuments\Office Admin\Thom\Finance\Financials\2020\"/>
    </mc:Choice>
  </mc:AlternateContent>
  <bookViews>
    <workbookView xWindow="0" yWindow="0" windowWidth="20490" windowHeight="7755"/>
  </bookViews>
  <sheets>
    <sheet name="General Fund Budget Vs. Actual" sheetId="3" r:id="rId1"/>
    <sheet name="General Fund Detail" sheetId="8" r:id="rId2"/>
    <sheet name="Statement of Financial Position" sheetId="6" r:id="rId3"/>
    <sheet name="Statement of Activities" sheetId="4" r:id="rId4"/>
    <sheet name="Sheet5" sheetId="7" r:id="rId5"/>
  </sheets>
  <definedNames>
    <definedName name="_xlnm.Print_Titles" localSheetId="1">'General Fund Detail'!$A:$H,'General Fund Detail'!$1:$2</definedName>
    <definedName name="QB_COLUMN_59200" localSheetId="1" hidden="1">'General Fund Detail'!$I$2</definedName>
    <definedName name="QB_COLUMN_62220" localSheetId="1" hidden="1">'General Fund Detail'!$M$2</definedName>
    <definedName name="QB_COLUMN_76210" localSheetId="1" hidden="1">'General Fund Detail'!$K$2</definedName>
    <definedName name="QB_COLUMN_76230" localSheetId="1" hidden="1">'General Fund Detail'!$O$2</definedName>
    <definedName name="QB_COLUMN_76240" localSheetId="1" hidden="1">'General Fund Detail'!$Q$2</definedName>
    <definedName name="QB_DATA_0" localSheetId="1" hidden="1">'General Fund Detail'!$6:$6,'General Fund Detail'!$7:$7,'General Fund Detail'!$8:$8,'General Fund Detail'!$11:$11,'General Fund Detail'!$12:$12,'General Fund Detail'!$13:$13,'General Fund Detail'!$16:$16,'General Fund Detail'!$17:$17,'General Fund Detail'!$20:$20,'General Fund Detail'!$21:$21,'General Fund Detail'!$22:$22,'General Fund Detail'!$23:$23,'General Fund Detail'!$25:$25,'General Fund Detail'!$28:$28,'General Fund Detail'!$29:$29,'General Fund Detail'!$30:$30</definedName>
    <definedName name="QB_DATA_1" localSheetId="1" hidden="1">'General Fund Detail'!$31:$31,'General Fund Detail'!$38:$38,'General Fund Detail'!$39:$39,'General Fund Detail'!$40:$40,'General Fund Detail'!$41:$41,'General Fund Detail'!$42:$42,'General Fund Detail'!$43:$43,'General Fund Detail'!$44:$44,'General Fund Detail'!$45:$45,'General Fund Detail'!$46:$46,'General Fund Detail'!$47:$47,'General Fund Detail'!$48:$48,'General Fund Detail'!$49:$49,'General Fund Detail'!$53:$53,'General Fund Detail'!$55:$55,'General Fund Detail'!$56:$56</definedName>
    <definedName name="QB_DATA_10" localSheetId="1" hidden="1">'General Fund Detail'!$282:$282,'General Fund Detail'!$283:$283,'General Fund Detail'!$286:$286,'General Fund Detail'!$287:$287,'General Fund Detail'!$288:$288,'General Fund Detail'!$289:$289,'General Fund Detail'!$293:$293,'General Fund Detail'!$295:$295,'General Fund Detail'!$296:$296,'General Fund Detail'!$297:$297,'General Fund Detail'!$298:$298,'General Fund Detail'!$301:$301,'General Fund Detail'!$302:$302,'General Fund Detail'!$303:$303,'General Fund Detail'!$304:$304,'General Fund Detail'!$307:$307</definedName>
    <definedName name="QB_DATA_11" localSheetId="1" hidden="1">'General Fund Detail'!$308:$308,'General Fund Detail'!$309:$309,'General Fund Detail'!$310:$310,'General Fund Detail'!$311:$311,'General Fund Detail'!$312:$312,'General Fund Detail'!$317:$317,'General Fund Detail'!$318:$318,'General Fund Detail'!$321:$321,'General Fund Detail'!$322:$322,'General Fund Detail'!$323:$323,'General Fund Detail'!$324:$324,'General Fund Detail'!$325:$325,'General Fund Detail'!$326:$326,'General Fund Detail'!$327:$327,'General Fund Detail'!$330:$330,'General Fund Detail'!$331:$331</definedName>
    <definedName name="QB_DATA_12" localSheetId="1" hidden="1">'General Fund Detail'!$332:$332,'General Fund Detail'!$333:$333,'General Fund Detail'!$334:$334,'General Fund Detail'!#REF!,'General Fund Detail'!#REF!</definedName>
    <definedName name="QB_DATA_2" localSheetId="1" hidden="1">'General Fund Detail'!$58:$58,'General Fund Detail'!$61:$61,'General Fund Detail'!$63:$63,'General Fund Detail'!$65:$65,'General Fund Detail'!$69:$69,'General Fund Detail'!$70:$70,'General Fund Detail'!$74:$74,'General Fund Detail'!$75:$75,'General Fund Detail'!$78:$78,'General Fund Detail'!$81:$81,'General Fund Detail'!$84:$84,'General Fund Detail'!$85:$85,'General Fund Detail'!$86:$86,'General Fund Detail'!$89:$89,'General Fund Detail'!$92:$92,'General Fund Detail'!$95:$95</definedName>
    <definedName name="QB_DATA_3" localSheetId="1" hidden="1">'General Fund Detail'!$100:$100,'General Fund Detail'!$103:$103,'General Fund Detail'!$106:$106,'General Fund Detail'!$109:$109,'General Fund Detail'!$113:$113,'General Fund Detail'!$114:$114,'General Fund Detail'!$115:$115,'General Fund Detail'!$116:$116,'General Fund Detail'!$117:$117,'General Fund Detail'!$124:$124,'General Fund Detail'!$125:$125,'General Fund Detail'!$126:$126,'General Fund Detail'!$127:$127,'General Fund Detail'!$128:$128,'General Fund Detail'!$129:$129,'General Fund Detail'!$130:$130</definedName>
    <definedName name="QB_DATA_4" localSheetId="1" hidden="1">'General Fund Detail'!$131:$131,'General Fund Detail'!$132:$132,'General Fund Detail'!$133:$133,'General Fund Detail'!$134:$134,'General Fund Detail'!$135:$135,'General Fund Detail'!$136:$136,'General Fund Detail'!$139:$139,'General Fund Detail'!$140:$140,'General Fund Detail'!$141:$141,'General Fund Detail'!$142:$142,'General Fund Detail'!$143:$143,'General Fund Detail'!$144:$144,'General Fund Detail'!$147:$147,'General Fund Detail'!$148:$148,'General Fund Detail'!$149:$149,'General Fund Detail'!$150:$150</definedName>
    <definedName name="QB_DATA_5" localSheetId="1" hidden="1">'General Fund Detail'!$151:$151,'General Fund Detail'!$152:$152,'General Fund Detail'!$153:$153,'General Fund Detail'!$154:$154,'General Fund Detail'!$155:$155,'General Fund Detail'!$156:$156,'General Fund Detail'!$157:$157,'General Fund Detail'!$160:$160,'General Fund Detail'!$163:$163,'General Fund Detail'!$164:$164,'General Fund Detail'!$168:$168,'General Fund Detail'!$169:$169,'General Fund Detail'!$170:$170,'General Fund Detail'!$172:$172,'General Fund Detail'!$175:$175,'General Fund Detail'!$176:$176</definedName>
    <definedName name="QB_DATA_6" localSheetId="1" hidden="1">'General Fund Detail'!$177:$177,'General Fund Detail'!$180:$180,'General Fund Detail'!$181:$181,'General Fund Detail'!$184:$184,'General Fund Detail'!$185:$185,'General Fund Detail'!$186:$186,'General Fund Detail'!$189:$189,'General Fund Detail'!$190:$190,'General Fund Detail'!$191:$191,'General Fund Detail'!$194:$194,'General Fund Detail'!$195:$195,'General Fund Detail'!$196:$196,'General Fund Detail'!$197:$197,'General Fund Detail'!$198:$198,'General Fund Detail'!$201:$201,'General Fund Detail'!$209:$209</definedName>
    <definedName name="QB_DATA_7" localSheetId="1" hidden="1">'General Fund Detail'!$210:$210,'General Fund Detail'!$211:$211,'General Fund Detail'!$212:$212,'General Fund Detail'!$213:$213,'General Fund Detail'!$214:$214,'General Fund Detail'!$215:$215,'General Fund Detail'!$216:$216,'General Fund Detail'!$219:$219,'General Fund Detail'!$220:$220,'General Fund Detail'!$221:$221,'General Fund Detail'!$222:$222,'General Fund Detail'!$223:$223,'General Fund Detail'!$224:$224,'General Fund Detail'!$225:$225,'General Fund Detail'!$226:$226,'General Fund Detail'!$227:$227</definedName>
    <definedName name="QB_DATA_8" localSheetId="1" hidden="1">'General Fund Detail'!$230:$230,'General Fund Detail'!$231:$231,'General Fund Detail'!$232:$232,'General Fund Detail'!$233:$233,'General Fund Detail'!$234:$234,'General Fund Detail'!$235:$235,'General Fund Detail'!$238:$238,'General Fund Detail'!$239:$239,'General Fund Detail'!$243:$243,'General Fund Detail'!$245:$245,'General Fund Detail'!$246:$246,'General Fund Detail'!$247:$247,'General Fund Detail'!$248:$248,'General Fund Detail'!$249:$249,'General Fund Detail'!$250:$250,'General Fund Detail'!$253:$253</definedName>
    <definedName name="QB_DATA_9" localSheetId="1" hidden="1">'General Fund Detail'!$254:$254,'General Fund Detail'!$257:$257,'General Fund Detail'!$258:$258,'General Fund Detail'!$260:$260,'General Fund Detail'!$264:$264,'General Fund Detail'!$265:$265,'General Fund Detail'!$266:$266,'General Fund Detail'!$267:$267,'General Fund Detail'!$268:$268,'General Fund Detail'!$270:$270,'General Fund Detail'!$272:$272,'General Fund Detail'!$273:$273,'General Fund Detail'!$274:$274,'General Fund Detail'!$277:$277,'General Fund Detail'!$278:$278,'General Fund Detail'!$279:$279</definedName>
    <definedName name="QB_FORMULA_0" localSheetId="1" hidden="1">'General Fund Detail'!$I$9,'General Fund Detail'!$K$9,'General Fund Detail'!$M$9,'General Fund Detail'!$O$9,'General Fund Detail'!$Q$9,'General Fund Detail'!$I$14,'General Fund Detail'!$K$14,'General Fund Detail'!$M$14,'General Fund Detail'!$O$14,'General Fund Detail'!$Q$14,'General Fund Detail'!$I$18,'General Fund Detail'!$K$18,'General Fund Detail'!$M$18,'General Fund Detail'!$O$18,'General Fund Detail'!$Q$18,'General Fund Detail'!$I$26</definedName>
    <definedName name="QB_FORMULA_1" localSheetId="1" hidden="1">'General Fund Detail'!$K$26,'General Fund Detail'!$M$26,'General Fund Detail'!$O$26,'General Fund Detail'!$Q$26,'General Fund Detail'!$I$32,'General Fund Detail'!$K$32,'General Fund Detail'!$M$32,'General Fund Detail'!$O$32,'General Fund Detail'!$Q$32,'General Fund Detail'!$I$33,'General Fund Detail'!$K$33,'General Fund Detail'!$M$33,'General Fund Detail'!$O$33,'General Fund Detail'!$Q$33,'General Fund Detail'!$I$50,'General Fund Detail'!$K$50</definedName>
    <definedName name="QB_FORMULA_10" localSheetId="1" hidden="1">'General Fund Detail'!$I$161,'General Fund Detail'!$K$161,'General Fund Detail'!$M$161,'General Fund Detail'!$O$161,'General Fund Detail'!$Q$161,'General Fund Detail'!$I$165,'General Fund Detail'!$K$165,'General Fund Detail'!$M$165,'General Fund Detail'!$O$165,'General Fund Detail'!$Q$165,'General Fund Detail'!$I$171,'General Fund Detail'!$K$171,'General Fund Detail'!$M$171,'General Fund Detail'!$O$171,'General Fund Detail'!$Q$171,'General Fund Detail'!$I$173</definedName>
    <definedName name="QB_FORMULA_11" localSheetId="1" hidden="1">'General Fund Detail'!$K$173,'General Fund Detail'!$M$173,'General Fund Detail'!$O$173,'General Fund Detail'!$Q$173,'General Fund Detail'!$I$182,'General Fund Detail'!$K$182,'General Fund Detail'!$M$182,'General Fund Detail'!$O$182,'General Fund Detail'!$Q$182,'General Fund Detail'!$I$187,'General Fund Detail'!$K$187,'General Fund Detail'!$M$187,'General Fund Detail'!$O$187,'General Fund Detail'!$Q$187,'General Fund Detail'!$I$192,'General Fund Detail'!$K$192</definedName>
    <definedName name="QB_FORMULA_12" localSheetId="1" hidden="1">'General Fund Detail'!$M$192,'General Fund Detail'!$O$192,'General Fund Detail'!$Q$192,'General Fund Detail'!$I$199,'General Fund Detail'!$K$199,'General Fund Detail'!$M$199,'General Fund Detail'!$O$199,'General Fund Detail'!$Q$199,'General Fund Detail'!$I$202,'General Fund Detail'!$K$202,'General Fund Detail'!$M$202,'General Fund Detail'!$O$202,'General Fund Detail'!$Q$202,'General Fund Detail'!$I$203,'General Fund Detail'!$K$203,'General Fund Detail'!$M$203</definedName>
    <definedName name="QB_FORMULA_13" localSheetId="1" hidden="1">'General Fund Detail'!$O$203,'General Fund Detail'!$Q$203,'General Fund Detail'!$I$204,'General Fund Detail'!$K$204,'General Fund Detail'!$M$204,'General Fund Detail'!$O$204,'General Fund Detail'!$Q$204,'General Fund Detail'!$I$205,'General Fund Detail'!$K$205,'General Fund Detail'!$M$205,'General Fund Detail'!$O$205,'General Fund Detail'!$Q$205,'General Fund Detail'!$I$217,'General Fund Detail'!$K$217,'General Fund Detail'!$M$217,'General Fund Detail'!$O$217</definedName>
    <definedName name="QB_FORMULA_14" localSheetId="1" hidden="1">'General Fund Detail'!$Q$217,'General Fund Detail'!$I$228,'General Fund Detail'!$K$228,'General Fund Detail'!$M$228,'General Fund Detail'!$O$228,'General Fund Detail'!$Q$228,'General Fund Detail'!$I$236,'General Fund Detail'!$M$236,'General Fund Detail'!$I$240,'General Fund Detail'!$K$240,'General Fund Detail'!$M$240,'General Fund Detail'!$O$240,'General Fund Detail'!$Q$240,'General Fund Detail'!$I$241,'General Fund Detail'!$K$241,'General Fund Detail'!$M$241</definedName>
    <definedName name="QB_FORMULA_15" localSheetId="1" hidden="1">'General Fund Detail'!$O$241,'General Fund Detail'!$Q$241,'General Fund Detail'!$I$251,'General Fund Detail'!$K$251,'General Fund Detail'!$M$251,'General Fund Detail'!$O$251,'General Fund Detail'!$Q$251,'General Fund Detail'!$I$255,'General Fund Detail'!$K$255,'General Fund Detail'!$M$255,'General Fund Detail'!$O$255,'General Fund Detail'!$Q$255,'General Fund Detail'!$I$259,'General Fund Detail'!$K$259,'General Fund Detail'!$M$259,'General Fund Detail'!$O$259</definedName>
    <definedName name="QB_FORMULA_16" localSheetId="1" hidden="1">'General Fund Detail'!$Q$259,'General Fund Detail'!$I$261,'General Fund Detail'!$K$261,'General Fund Detail'!$M$261,'General Fund Detail'!$O$261,'General Fund Detail'!$Q$261,'General Fund Detail'!$I$269,'General Fund Detail'!$K$269,'General Fund Detail'!$M$269,'General Fund Detail'!$O$269,'General Fund Detail'!$Q$269,'General Fund Detail'!$I$275,'General Fund Detail'!$K$275,'General Fund Detail'!$M$275,'General Fund Detail'!$O$275,'General Fund Detail'!$Q$275</definedName>
    <definedName name="QB_FORMULA_17" localSheetId="1" hidden="1">'General Fund Detail'!$I$280,'General Fund Detail'!$K$280,'General Fund Detail'!$M$280,'General Fund Detail'!$O$280,'General Fund Detail'!$Q$280,'General Fund Detail'!$I$284,'General Fund Detail'!$K$284,'General Fund Detail'!$M$284,'General Fund Detail'!$O$284,'General Fund Detail'!$Q$284,'General Fund Detail'!$I$290,'General Fund Detail'!$M$290,'General Fund Detail'!$I$291,'General Fund Detail'!$K$291,'General Fund Detail'!$M$291,'General Fund Detail'!$O$291</definedName>
    <definedName name="QB_FORMULA_18" localSheetId="1" hidden="1">'General Fund Detail'!$Q$291,'General Fund Detail'!$I$299,'General Fund Detail'!$K$299,'General Fund Detail'!$M$299,'General Fund Detail'!$O$299,'General Fund Detail'!$Q$299,'General Fund Detail'!$I$305,'General Fund Detail'!$K$305,'General Fund Detail'!$M$305,'General Fund Detail'!$O$305,'General Fund Detail'!$Q$305,'General Fund Detail'!$I$313,'General Fund Detail'!$K$313,'General Fund Detail'!$M$313,'General Fund Detail'!$O$313,'General Fund Detail'!$Q$313</definedName>
    <definedName name="QB_FORMULA_19" localSheetId="1" hidden="1">'General Fund Detail'!$I$314,'General Fund Detail'!$K$314,'General Fund Detail'!$M$314,'General Fund Detail'!$O$314,'General Fund Detail'!$Q$314,'General Fund Detail'!$I$319,'General Fund Detail'!$K$319,'General Fund Detail'!$M$319,'General Fund Detail'!$O$319,'General Fund Detail'!$Q$319,'General Fund Detail'!$I$328,'General Fund Detail'!$K$328,'General Fund Detail'!$M$328,'General Fund Detail'!$O$328,'General Fund Detail'!$Q$328,'General Fund Detail'!$I$335</definedName>
    <definedName name="QB_FORMULA_2" localSheetId="1" hidden="1">'General Fund Detail'!$M$50,'General Fund Detail'!$O$50,'General Fund Detail'!$Q$50,'General Fund Detail'!$I$54,'General Fund Detail'!$K$54,'General Fund Detail'!$M$54,'General Fund Detail'!$O$54,'General Fund Detail'!$Q$54,'General Fund Detail'!$I$59,'General Fund Detail'!$K$59,'General Fund Detail'!$M$59,'General Fund Detail'!$O$59,'General Fund Detail'!$Q$59,'General Fund Detail'!$I$62,'General Fund Detail'!$K$62,'General Fund Detail'!$M$62</definedName>
    <definedName name="QB_FORMULA_20" localSheetId="1" hidden="1">'General Fund Detail'!$K$335,'General Fund Detail'!$M$335,'General Fund Detail'!$O$335,'General Fund Detail'!$Q$335,'General Fund Detail'!$I$336,'General Fund Detail'!$K$336,'General Fund Detail'!$M$336,'General Fund Detail'!$O$336,'General Fund Detail'!$Q$336,'General Fund Detail'!$I$337,'General Fund Detail'!$K$337,'General Fund Detail'!$M$337,'General Fund Detail'!$O$337,'General Fund Detail'!$Q$337,'General Fund Detail'!$I$338,'General Fund Detail'!$K$338</definedName>
    <definedName name="QB_FORMULA_21" localSheetId="1" hidden="1">'General Fund Detail'!$M$338,'General Fund Detail'!$O$338,'General Fund Detail'!$Q$338,'General Fund Detail'!$I$339,'General Fund Detail'!$K$339,'General Fund Detail'!$M$339,'General Fund Detail'!$O$339,'General Fund Detail'!$Q$339,'General Fund Detail'!#REF!,'General Fund Detail'!#REF!,'General Fund Detail'!#REF!,'General Fund Detail'!#REF!,'General Fund Detail'!#REF!,'General Fund Detail'!#REF!,'General Fund Detail'!#REF!,'General Fund Detail'!#REF!</definedName>
    <definedName name="QB_FORMULA_22" localSheetId="1" hidden="1">'General Fund Detail'!#REF!,'General Fund Detail'!#REF!,'General Fund Detail'!#REF!</definedName>
    <definedName name="QB_FORMULA_3" localSheetId="1" hidden="1">'General Fund Detail'!$O$62,'General Fund Detail'!$Q$62,'General Fund Detail'!$I$66,'General Fund Detail'!$K$66,'General Fund Detail'!$M$66,'General Fund Detail'!$O$66,'General Fund Detail'!$Q$66,'General Fund Detail'!$I$67,'General Fund Detail'!$K$67,'General Fund Detail'!$M$67,'General Fund Detail'!$O$67,'General Fund Detail'!$Q$67,'General Fund Detail'!$I$71,'General Fund Detail'!$K$71,'General Fund Detail'!$M$71,'General Fund Detail'!$O$71</definedName>
    <definedName name="QB_FORMULA_4" localSheetId="1" hidden="1">'General Fund Detail'!$Q$71,'General Fund Detail'!$I$76,'General Fund Detail'!$K$76,'General Fund Detail'!$M$76,'General Fund Detail'!$O$76,'General Fund Detail'!$Q$76,'General Fund Detail'!$I$79,'General Fund Detail'!$K$79,'General Fund Detail'!$M$79,'General Fund Detail'!$O$79,'General Fund Detail'!$Q$79,'General Fund Detail'!$I$82,'General Fund Detail'!$K$82,'General Fund Detail'!$M$82,'General Fund Detail'!$O$82,'General Fund Detail'!$Q$82</definedName>
    <definedName name="QB_FORMULA_5" localSheetId="1" hidden="1">'General Fund Detail'!$I$87,'General Fund Detail'!$K$87,'General Fund Detail'!$M$87,'General Fund Detail'!$O$87,'General Fund Detail'!$Q$87,'General Fund Detail'!$I$90,'General Fund Detail'!$K$90,'General Fund Detail'!$M$90,'General Fund Detail'!$O$90,'General Fund Detail'!$Q$90,'General Fund Detail'!$I$93,'General Fund Detail'!$K$93,'General Fund Detail'!$M$93,'General Fund Detail'!$O$93,'General Fund Detail'!$Q$93,'General Fund Detail'!$I$96</definedName>
    <definedName name="QB_FORMULA_6" localSheetId="1" hidden="1">'General Fund Detail'!$K$96,'General Fund Detail'!$M$96,'General Fund Detail'!$O$96,'General Fund Detail'!$Q$96,'General Fund Detail'!$I$97,'General Fund Detail'!$K$97,'General Fund Detail'!$M$97,'General Fund Detail'!$O$97,'General Fund Detail'!$Q$97,'General Fund Detail'!$I$101,'General Fund Detail'!$K$101,'General Fund Detail'!$M$101,'General Fund Detail'!$O$101,'General Fund Detail'!$Q$101,'General Fund Detail'!$I$104,'General Fund Detail'!$K$104</definedName>
    <definedName name="QB_FORMULA_7" localSheetId="1" hidden="1">'General Fund Detail'!$M$104,'General Fund Detail'!$O$104,'General Fund Detail'!$Q$104,'General Fund Detail'!$I$107,'General Fund Detail'!$K$107,'General Fund Detail'!$M$107,'General Fund Detail'!$O$107,'General Fund Detail'!$Q$107,'General Fund Detail'!$I$110,'General Fund Detail'!$K$110,'General Fund Detail'!$M$110,'General Fund Detail'!$O$110,'General Fund Detail'!$Q$110,'General Fund Detail'!$I$118,'General Fund Detail'!$K$118,'General Fund Detail'!$M$118</definedName>
    <definedName name="QB_FORMULA_8" localSheetId="1" hidden="1">'General Fund Detail'!$O$118,'General Fund Detail'!$Q$118,'General Fund Detail'!$I$119,'General Fund Detail'!$K$119,'General Fund Detail'!$M$119,'General Fund Detail'!$O$119,'General Fund Detail'!$Q$119,'General Fund Detail'!$I$120,'General Fund Detail'!$K$120,'General Fund Detail'!$M$120,'General Fund Detail'!$O$120,'General Fund Detail'!$Q$120,'General Fund Detail'!$I$121,'General Fund Detail'!$K$121,'General Fund Detail'!$M$121,'General Fund Detail'!$O$121</definedName>
    <definedName name="QB_FORMULA_9" localSheetId="1" hidden="1">'General Fund Detail'!$Q$121,'General Fund Detail'!$I$137,'General Fund Detail'!$K$137,'General Fund Detail'!$M$137,'General Fund Detail'!$O$137,'General Fund Detail'!$Q$137,'General Fund Detail'!$I$145,'General Fund Detail'!$K$145,'General Fund Detail'!$M$145,'General Fund Detail'!$O$145,'General Fund Detail'!$Q$145,'General Fund Detail'!$I$158,'General Fund Detail'!$K$158,'General Fund Detail'!$M$158,'General Fund Detail'!$O$158,'General Fund Detail'!$Q$158</definedName>
    <definedName name="QB_ROW_117240" localSheetId="1" hidden="1">'General Fund Detail'!$E$30</definedName>
    <definedName name="QB_ROW_121250" localSheetId="1" hidden="1">'General Fund Detail'!$F$128</definedName>
    <definedName name="QB_ROW_124250" localSheetId="1" hidden="1">'General Fund Detail'!$F$124</definedName>
    <definedName name="QB_ROW_125250" localSheetId="1" hidden="1">'General Fund Detail'!$F$131</definedName>
    <definedName name="QB_ROW_128250" localSheetId="1" hidden="1">'General Fund Detail'!$F$126</definedName>
    <definedName name="QB_ROW_129250" localSheetId="1" hidden="1">'General Fund Detail'!$F$127</definedName>
    <definedName name="QB_ROW_130250" localSheetId="1" hidden="1">'General Fund Detail'!$F$139</definedName>
    <definedName name="QB_ROW_132250" localSheetId="1" hidden="1">'General Fund Detail'!$F$160</definedName>
    <definedName name="QB_ROW_134250" localSheetId="1" hidden="1">'General Fund Detail'!$F$175</definedName>
    <definedName name="QB_ROW_135250" localSheetId="1" hidden="1">'General Fund Detail'!$F$140</definedName>
    <definedName name="QB_ROW_136250" localSheetId="1" hidden="1">'General Fund Detail'!$F$134</definedName>
    <definedName name="QB_ROW_137250" localSheetId="1" hidden="1">'General Fund Detail'!$F$136</definedName>
    <definedName name="QB_ROW_138250" localSheetId="1" hidden="1">'General Fund Detail'!$F$135</definedName>
    <definedName name="QB_ROW_139260" localSheetId="1" hidden="1">'General Fund Detail'!$G$286</definedName>
    <definedName name="QB_ROW_140260" localSheetId="1" hidden="1">'General Fund Detail'!$G$288</definedName>
    <definedName name="QB_ROW_141260" localSheetId="1" hidden="1">'General Fund Detail'!$G$287</definedName>
    <definedName name="QB_ROW_142260" localSheetId="1" hidden="1">'General Fund Detail'!$G$289</definedName>
    <definedName name="QB_ROW_148260" localSheetId="1" hidden="1">'General Fund Detail'!$G$266</definedName>
    <definedName name="QB_ROW_149260" localSheetId="1" hidden="1">'General Fund Detail'!$G$268</definedName>
    <definedName name="QB_ROW_150260" localSheetId="1" hidden="1">'General Fund Detail'!$G$264</definedName>
    <definedName name="QB_ROW_153250" localSheetId="1" hidden="1">'General Fund Detail'!$F$63</definedName>
    <definedName name="QB_ROW_155260" localSheetId="1" hidden="1">'General Fund Detail'!$G$321</definedName>
    <definedName name="QB_ROW_156260" localSheetId="1" hidden="1">'General Fund Detail'!$G$324</definedName>
    <definedName name="QB_ROW_157260" localSheetId="1" hidden="1">'General Fund Detail'!$G$322</definedName>
    <definedName name="QB_ROW_158260" localSheetId="1" hidden="1">'General Fund Detail'!$G$325</definedName>
    <definedName name="QB_ROW_159270" localSheetId="1" hidden="1">'General Fund Detail'!$H$180</definedName>
    <definedName name="QB_ROW_160050" localSheetId="1" hidden="1">'General Fund Detail'!$F$316</definedName>
    <definedName name="QB_ROW_160350" localSheetId="1" hidden="1">'General Fund Detail'!$F$319</definedName>
    <definedName name="QB_ROW_161260" localSheetId="1" hidden="1">'General Fund Detail'!$G$318</definedName>
    <definedName name="QB_ROW_164250" localSheetId="1" hidden="1">'General Fund Detail'!$F$147</definedName>
    <definedName name="QB_ROW_165250" localSheetId="1" hidden="1">'General Fund Detail'!$F$149</definedName>
    <definedName name="QB_ROW_166250" localSheetId="1" hidden="1">'General Fund Detail'!$F$148</definedName>
    <definedName name="QB_ROW_167250" localSheetId="1" hidden="1">'General Fund Detail'!$F$152</definedName>
    <definedName name="QB_ROW_171050" localSheetId="1" hidden="1">'General Fund Detail'!$F$99</definedName>
    <definedName name="QB_ROW_171350" localSheetId="1" hidden="1">'General Fund Detail'!$F$101</definedName>
    <definedName name="QB_ROW_176250" localSheetId="1" hidden="1">'General Fund Detail'!$F$151</definedName>
    <definedName name="QB_ROW_177250" localSheetId="1" hidden="1">'General Fund Detail'!$F$157</definedName>
    <definedName name="QB_ROW_179250" localSheetId="1" hidden="1">'General Fund Detail'!$F$153</definedName>
    <definedName name="QB_ROW_18301" localSheetId="1" hidden="1">'General Fund Detail'!#REF!</definedName>
    <definedName name="QB_ROW_184250" localSheetId="1" hidden="1">'General Fund Detail'!$F$164</definedName>
    <definedName name="QB_ROW_19011" localSheetId="1" hidden="1">'General Fund Detail'!$B$3</definedName>
    <definedName name="QB_ROW_19311" localSheetId="1" hidden="1">'General Fund Detail'!$B$339</definedName>
    <definedName name="QB_ROW_20021" localSheetId="1" hidden="1">'General Fund Detail'!$C$4</definedName>
    <definedName name="QB_ROW_202270" localSheetId="1" hidden="1">'General Fund Detail'!$H$201</definedName>
    <definedName name="QB_ROW_20321" localSheetId="1" hidden="1">'General Fund Detail'!$C$33</definedName>
    <definedName name="QB_ROW_207050" localSheetId="1" hidden="1">'General Fund Detail'!$F$320</definedName>
    <definedName name="QB_ROW_207350" localSheetId="1" hidden="1">'General Fund Detail'!$F$328</definedName>
    <definedName name="QB_ROW_208350" localSheetId="1" hidden="1">'General Fund Detail'!$F$260</definedName>
    <definedName name="QB_ROW_209260" localSheetId="1" hidden="1">'General Fund Detail'!$G$317</definedName>
    <definedName name="QB_ROW_210040" localSheetId="1" hidden="1">'General Fund Detail'!$E$315</definedName>
    <definedName name="QB_ROW_21021" localSheetId="1" hidden="1">'General Fund Detail'!$C$35</definedName>
    <definedName name="QB_ROW_210340" localSheetId="1" hidden="1">'General Fund Detail'!$E$336</definedName>
    <definedName name="QB_ROW_21321" localSheetId="1" hidden="1">'General Fund Detail'!$C$338</definedName>
    <definedName name="QB_ROW_22011" localSheetId="1" hidden="1">'General Fund Detail'!#REF!</definedName>
    <definedName name="QB_ROW_22311" localSheetId="1" hidden="1">'General Fund Detail'!#REF!</definedName>
    <definedName name="QB_ROW_228250" localSheetId="1" hidden="1">'General Fund Detail'!$F$150</definedName>
    <definedName name="QB_ROW_229050" localSheetId="1" hidden="1">'General Fund Detail'!$F$77</definedName>
    <definedName name="QB_ROW_229350" localSheetId="1" hidden="1">'General Fund Detail'!$F$79</definedName>
    <definedName name="QB_ROW_23021" localSheetId="1" hidden="1">'General Fund Detail'!#REF!</definedName>
    <definedName name="QB_ROW_23321" localSheetId="1" hidden="1">'General Fund Detail'!#REF!</definedName>
    <definedName name="QB_ROW_237260" localSheetId="1" hidden="1">'General Fund Detail'!$G$267</definedName>
    <definedName name="QB_ROW_240050" localSheetId="1" hidden="1">'General Fund Detail'!$F$64</definedName>
    <definedName name="QB_ROW_24021" localSheetId="1" hidden="1">'General Fund Detail'!#REF!</definedName>
    <definedName name="QB_ROW_240350" localSheetId="1" hidden="1">'General Fund Detail'!$F$66</definedName>
    <definedName name="QB_ROW_242050" localSheetId="1" hidden="1">'General Fund Detail'!$F$52</definedName>
    <definedName name="QB_ROW_242350" localSheetId="1" hidden="1">'General Fund Detail'!$F$54</definedName>
    <definedName name="QB_ROW_24321" localSheetId="1" hidden="1">'General Fund Detail'!#REF!</definedName>
    <definedName name="QB_ROW_244050" localSheetId="1" hidden="1">'General Fund Detail'!$F$263</definedName>
    <definedName name="QB_ROW_244350" localSheetId="1" hidden="1">'General Fund Detail'!$F$269</definedName>
    <definedName name="QB_ROW_246050" localSheetId="1" hidden="1">'General Fund Detail'!$F$244</definedName>
    <definedName name="QB_ROW_246350" localSheetId="1" hidden="1">'General Fund Detail'!$F$251</definedName>
    <definedName name="QB_ROW_249050" localSheetId="1" hidden="1">'General Fund Detail'!$F$167</definedName>
    <definedName name="QB_ROW_249350" localSheetId="1" hidden="1">'General Fund Detail'!$F$171</definedName>
    <definedName name="QB_ROW_254040" localSheetId="1" hidden="1">'General Fund Detail'!$E$146</definedName>
    <definedName name="QB_ROW_254340" localSheetId="1" hidden="1">'General Fund Detail'!$E$158</definedName>
    <definedName name="QB_ROW_256050" localSheetId="1" hidden="1">'General Fund Detail'!$F$229</definedName>
    <definedName name="QB_ROW_256350" localSheetId="1" hidden="1">'General Fund Detail'!$F$236</definedName>
    <definedName name="QB_ROW_260350" localSheetId="1" hidden="1">'General Fund Detail'!$F$270</definedName>
    <definedName name="QB_ROW_261350" localSheetId="1" hidden="1">'General Fund Detail'!$F$55</definedName>
    <definedName name="QB_ROW_268040" localSheetId="1" hidden="1">'General Fund Detail'!$E$262</definedName>
    <definedName name="QB_ROW_268340" localSheetId="1" hidden="1">'General Fund Detail'!$E$291</definedName>
    <definedName name="QB_ROW_301260" localSheetId="1" hidden="1">'General Fund Detail'!$G$282</definedName>
    <definedName name="QB_ROW_302260" localSheetId="1" hidden="1">'General Fund Detail'!$G$230</definedName>
    <definedName name="QB_ROW_303260" localSheetId="1" hidden="1">'General Fund Detail'!$G$231</definedName>
    <definedName name="QB_ROW_304260" localSheetId="1" hidden="1">'General Fund Detail'!$G$233</definedName>
    <definedName name="QB_ROW_307260" localSheetId="1" hidden="1">'General Fund Detail'!$G$234</definedName>
    <definedName name="QB_ROW_309050" localSheetId="1" hidden="1">'General Fund Detail'!$F$281</definedName>
    <definedName name="QB_ROW_309350" localSheetId="1" hidden="1">'General Fund Detail'!$F$284</definedName>
    <definedName name="QB_ROW_310260" localSheetId="1" hidden="1">'General Fund Detail'!$G$283</definedName>
    <definedName name="QB_ROW_314050" localSheetId="1" hidden="1">'General Fund Detail'!$F$208</definedName>
    <definedName name="QB_ROW_314350" localSheetId="1" hidden="1">'General Fund Detail'!$F$217</definedName>
    <definedName name="QB_ROW_317240" localSheetId="1" hidden="1">'General Fund Detail'!$E$25</definedName>
    <definedName name="QB_ROW_32040" localSheetId="1" hidden="1">'General Fund Detail'!$E$123</definedName>
    <definedName name="QB_ROW_32340" localSheetId="1" hidden="1">'General Fund Detail'!$E$137</definedName>
    <definedName name="QB_ROW_326260" localSheetId="1" hidden="1">'General Fund Detail'!$G$253</definedName>
    <definedName name="QB_ROW_330060" localSheetId="1" hidden="1">'General Fund Detail'!$G$112</definedName>
    <definedName name="QB_ROW_330360" localSheetId="1" hidden="1">'General Fund Detail'!$G$118</definedName>
    <definedName name="QB_ROW_337260" localSheetId="1" hidden="1">'General Fund Detail'!$G$250</definedName>
    <definedName name="QB_ROW_34040" localSheetId="1" hidden="1">'General Fund Detail'!$E$51</definedName>
    <definedName name="QB_ROW_34340" localSheetId="1" hidden="1">'General Fund Detail'!$E$67</definedName>
    <definedName name="QB_ROW_348260" localSheetId="1" hidden="1">'General Fund Detail'!$G$235</definedName>
    <definedName name="QB_ROW_350260" localSheetId="1" hidden="1">'General Fund Detail'!$G$219</definedName>
    <definedName name="QB_ROW_351050" localSheetId="1" hidden="1">'General Fund Detail'!$F$218</definedName>
    <definedName name="QB_ROW_351350" localSheetId="1" hidden="1">'General Fund Detail'!$F$228</definedName>
    <definedName name="QB_ROW_352260" localSheetId="1" hidden="1">'General Fund Detail'!$G$220</definedName>
    <definedName name="QB_ROW_353260" localSheetId="1" hidden="1">'General Fund Detail'!$G$221</definedName>
    <definedName name="QB_ROW_354260" localSheetId="1" hidden="1">'General Fund Detail'!$G$223</definedName>
    <definedName name="QB_ROW_355260" localSheetId="1" hidden="1">'General Fund Detail'!$G$224</definedName>
    <definedName name="QB_ROW_356260" localSheetId="1" hidden="1">'General Fund Detail'!$G$225</definedName>
    <definedName name="QB_ROW_357270" localSheetId="1" hidden="1">'General Fund Detail'!$H$196</definedName>
    <definedName name="QB_ROW_36040" localSheetId="1" hidden="1">'General Fund Detail'!$E$207</definedName>
    <definedName name="QB_ROW_36340" localSheetId="1" hidden="1">'General Fund Detail'!$E$241</definedName>
    <definedName name="QB_ROW_374250" localSheetId="1" hidden="1">'General Fund Detail'!$F$163</definedName>
    <definedName name="QB_ROW_383240" localSheetId="1" hidden="1">'General Fund Detail'!$E$28</definedName>
    <definedName name="QB_ROW_385250" localSheetId="1" hidden="1">'General Fund Detail'!$F$129</definedName>
    <definedName name="QB_ROW_386050" localSheetId="1" hidden="1">'General Fund Detail'!$F$80</definedName>
    <definedName name="QB_ROW_386350" localSheetId="1" hidden="1">'General Fund Detail'!$F$82</definedName>
    <definedName name="QB_ROW_388050" localSheetId="1" hidden="1">'General Fund Detail'!$F$83</definedName>
    <definedName name="QB_ROW_388260" localSheetId="1" hidden="1">'General Fund Detail'!$G$86</definedName>
    <definedName name="QB_ROW_388350" localSheetId="1" hidden="1">'General Fund Detail'!$F$87</definedName>
    <definedName name="QB_ROW_389260" localSheetId="1" hidden="1">'General Fund Detail'!$G$245</definedName>
    <definedName name="QB_ROW_390260" localSheetId="1" hidden="1">'General Fund Detail'!$G$246</definedName>
    <definedName name="QB_ROW_39050" localSheetId="1" hidden="1">'General Fund Detail'!$F$285</definedName>
    <definedName name="QB_ROW_39350" localSheetId="1" hidden="1">'General Fund Detail'!$F$290</definedName>
    <definedName name="QB_ROW_394350" localSheetId="1" hidden="1">'General Fund Detail'!$F$172</definedName>
    <definedName name="QB_ROW_402050" localSheetId="1" hidden="1">'General Fund Detail'!$F$237</definedName>
    <definedName name="QB_ROW_402350" localSheetId="1" hidden="1">'General Fund Detail'!$F$240</definedName>
    <definedName name="QB_ROW_403260" localSheetId="1" hidden="1">'General Fund Detail'!$G$238</definedName>
    <definedName name="QB_ROW_404260" localSheetId="1" hidden="1">'General Fund Detail'!$G$239</definedName>
    <definedName name="QB_ROW_410050" localSheetId="1" hidden="1">'General Fund Detail'!$F$329</definedName>
    <definedName name="QB_ROW_410350" localSheetId="1" hidden="1">'General Fund Detail'!$F$335</definedName>
    <definedName name="QB_ROW_411260" localSheetId="1" hidden="1">'General Fund Detail'!$G$330</definedName>
    <definedName name="QB_ROW_412260" localSheetId="1" hidden="1">'General Fund Detail'!$G$334</definedName>
    <definedName name="QB_ROW_413050" localSheetId="1" hidden="1">'General Fund Detail'!$F$294</definedName>
    <definedName name="QB_ROW_413350" localSheetId="1" hidden="1">'General Fund Detail'!$F$299</definedName>
    <definedName name="QB_ROW_414260" localSheetId="1" hidden="1">'General Fund Detail'!$G$295</definedName>
    <definedName name="QB_ROW_415260" localSheetId="1" hidden="1">'General Fund Detail'!$G$296</definedName>
    <definedName name="QB_ROW_418270" localSheetId="1" hidden="1">'General Fund Detail'!$H$189</definedName>
    <definedName name="QB_ROW_419050" localSheetId="1" hidden="1">'General Fund Detail'!$F$57</definedName>
    <definedName name="QB_ROW_419350" localSheetId="1" hidden="1">'General Fund Detail'!$F$59</definedName>
    <definedName name="QB_ROW_42030" localSheetId="1" hidden="1">'General Fund Detail'!$D$10</definedName>
    <definedName name="QB_ROW_422270" localSheetId="1" hidden="1">'General Fund Detail'!$H$181</definedName>
    <definedName name="QB_ROW_42240" localSheetId="1" hidden="1">'General Fund Detail'!$E$13</definedName>
    <definedName name="QB_ROW_42330" localSheetId="1" hidden="1">'General Fund Detail'!$D$14</definedName>
    <definedName name="QB_ROW_429260" localSheetId="1" hidden="1">'General Fund Detail'!$G$272</definedName>
    <definedName name="QB_ROW_430270" localSheetId="1" hidden="1">'General Fund Detail'!$H$184</definedName>
    <definedName name="QB_ROW_431250" localSheetId="1" hidden="1">'General Fund Detail'!$F$40</definedName>
    <definedName name="QB_ROW_433250" localSheetId="1" hidden="1">'General Fund Detail'!$F$47</definedName>
    <definedName name="QB_ROW_436260" localSheetId="1" hidden="1">'General Fund Detail'!$G$247</definedName>
    <definedName name="QB_ROW_437050" localSheetId="1" hidden="1">'General Fund Detail'!$F$276</definedName>
    <definedName name="QB_ROW_437260" localSheetId="1" hidden="1">'General Fund Detail'!$G$279</definedName>
    <definedName name="QB_ROW_437350" localSheetId="1" hidden="1">'General Fund Detail'!$F$280</definedName>
    <definedName name="QB_ROW_438260" localSheetId="1" hidden="1">'General Fund Detail'!$G$277</definedName>
    <definedName name="QB_ROW_439260" localSheetId="1" hidden="1">'General Fund Detail'!$G$278</definedName>
    <definedName name="QB_ROW_442260" localSheetId="1" hidden="1">'General Fund Detail'!$G$332</definedName>
    <definedName name="QB_ROW_447260" localSheetId="1" hidden="1">'General Fund Detail'!$G$273</definedName>
    <definedName name="QB_ROW_449050" localSheetId="1" hidden="1">'General Fund Detail'!$F$271</definedName>
    <definedName name="QB_ROW_449260" localSheetId="1" hidden="1">'General Fund Detail'!$G$274</definedName>
    <definedName name="QB_ROW_449350" localSheetId="1" hidden="1">'General Fund Detail'!$F$275</definedName>
    <definedName name="QB_ROW_452260" localSheetId="1" hidden="1">'General Fund Detail'!$G$257</definedName>
    <definedName name="QB_ROW_45260" localSheetId="1" hidden="1">'General Fund Detail'!$G$248</definedName>
    <definedName name="QB_ROW_456050" localSheetId="1" hidden="1">'General Fund Detail'!$F$60</definedName>
    <definedName name="QB_ROW_456350" localSheetId="1" hidden="1">'General Fund Detail'!$F$62</definedName>
    <definedName name="QB_ROW_46250" localSheetId="1" hidden="1">'General Fund Detail'!$F$42</definedName>
    <definedName name="QB_ROW_47250" localSheetId="1" hidden="1">'General Fund Detail'!$F$38</definedName>
    <definedName name="QB_ROW_486030" localSheetId="1" hidden="1">'General Fund Detail'!$D$19</definedName>
    <definedName name="QB_ROW_486330" localSheetId="1" hidden="1">'General Fund Detail'!$D$26</definedName>
    <definedName name="QB_ROW_489040" localSheetId="1" hidden="1">'General Fund Detail'!$E$159</definedName>
    <definedName name="QB_ROW_489340" localSheetId="1" hidden="1">'General Fund Detail'!$E$161</definedName>
    <definedName name="QB_ROW_49250" localSheetId="1" hidden="1">'General Fund Detail'!$F$39</definedName>
    <definedName name="QB_ROW_496050" localSheetId="1" hidden="1">'General Fund Detail'!$F$73</definedName>
    <definedName name="QB_ROW_496350" localSheetId="1" hidden="1">'General Fund Detail'!$F$76</definedName>
    <definedName name="QB_ROW_497050" localSheetId="1" hidden="1">'General Fund Detail'!$F$94</definedName>
    <definedName name="QB_ROW_497350" localSheetId="1" hidden="1">'General Fund Detail'!$F$96</definedName>
    <definedName name="QB_ROW_498250" localSheetId="1" hidden="1">'General Fund Detail'!$F$41</definedName>
    <definedName name="QB_ROW_501260" localSheetId="1" hidden="1">'General Fund Detail'!$G$331</definedName>
    <definedName name="QB_ROW_502260" localSheetId="1" hidden="1">'General Fund Detail'!$G$211</definedName>
    <definedName name="QB_ROW_50260" localSheetId="1" hidden="1">'General Fund Detail'!$G$209</definedName>
    <definedName name="QB_ROW_503260" localSheetId="1" hidden="1">'General Fund Detail'!$G$226</definedName>
    <definedName name="QB_ROW_504260" localSheetId="1" hidden="1">'General Fund Detail'!$G$297</definedName>
    <definedName name="QB_ROW_509050" localSheetId="1" hidden="1">'General Fund Detail'!$F$252</definedName>
    <definedName name="QB_ROW_509350" localSheetId="1" hidden="1">'General Fund Detail'!$F$255</definedName>
    <definedName name="QB_ROW_510260" localSheetId="1" hidden="1">'General Fund Detail'!$G$254</definedName>
    <definedName name="QB_ROW_511050" localSheetId="1" hidden="1">'General Fund Detail'!$F$256</definedName>
    <definedName name="QB_ROW_511350" localSheetId="1" hidden="1">'General Fund Detail'!$F$259</definedName>
    <definedName name="QB_ROW_512260" localSheetId="1" hidden="1">'General Fund Detail'!$G$258</definedName>
    <definedName name="QB_ROW_514250" localSheetId="1" hidden="1">'General Fund Detail'!$F$130</definedName>
    <definedName name="QB_ROW_515250" localSheetId="1" hidden="1">'General Fund Detail'!$F$125</definedName>
    <definedName name="QB_ROW_516250" localSheetId="1" hidden="1">'General Fund Detail'!$F$133</definedName>
    <definedName name="QB_ROW_529250" localSheetId="1" hidden="1">'General Fund Detail'!$F$56</definedName>
    <definedName name="QB_ROW_533230" localSheetId="1" hidden="1">'General Fund Detail'!#REF!</definedName>
    <definedName name="QB_ROW_536060" localSheetId="1" hidden="1">'General Fund Detail'!$G$179</definedName>
    <definedName name="QB_ROW_536360" localSheetId="1" hidden="1">'General Fund Detail'!$G$182</definedName>
    <definedName name="QB_ROW_537060" localSheetId="1" hidden="1">'General Fund Detail'!$G$193</definedName>
    <definedName name="QB_ROW_537270" localSheetId="1" hidden="1">'General Fund Detail'!$H$198</definedName>
    <definedName name="QB_ROW_537360" localSheetId="1" hidden="1">'General Fund Detail'!$G$199</definedName>
    <definedName name="QB_ROW_538040" localSheetId="1" hidden="1">'General Fund Detail'!$E$242</definedName>
    <definedName name="QB_ROW_538340" localSheetId="1" hidden="1">'General Fund Detail'!$E$261</definedName>
    <definedName name="QB_ROW_539060" localSheetId="1" hidden="1">'General Fund Detail'!$G$183</definedName>
    <definedName name="QB_ROW_539270" localSheetId="1" hidden="1">'General Fund Detail'!$H$186</definedName>
    <definedName name="QB_ROW_539360" localSheetId="1" hidden="1">'General Fund Detail'!$G$187</definedName>
    <definedName name="QB_ROW_540040" localSheetId="1" hidden="1">'General Fund Detail'!$E$292</definedName>
    <definedName name="QB_ROW_540340" localSheetId="1" hidden="1">'General Fund Detail'!$E$314</definedName>
    <definedName name="QB_ROW_541060" localSheetId="1" hidden="1">'General Fund Detail'!$G$200</definedName>
    <definedName name="QB_ROW_541360" localSheetId="1" hidden="1">'General Fund Detail'!$G$202</definedName>
    <definedName name="QB_ROW_544040" localSheetId="1" hidden="1">'General Fund Detail'!$E$72</definedName>
    <definedName name="QB_ROW_544340" localSheetId="1" hidden="1">'General Fund Detail'!$E$97</definedName>
    <definedName name="QB_ROW_545040" localSheetId="1" hidden="1">'General Fund Detail'!$E$162</definedName>
    <definedName name="QB_ROW_545340" localSheetId="1" hidden="1">'General Fund Detail'!$E$165</definedName>
    <definedName name="QB_ROW_546040" localSheetId="1" hidden="1">'General Fund Detail'!$E$68</definedName>
    <definedName name="QB_ROW_546340" localSheetId="1" hidden="1">'General Fund Detail'!$E$71</definedName>
    <definedName name="QB_ROW_547040" localSheetId="1" hidden="1">'General Fund Detail'!$E$98</definedName>
    <definedName name="QB_ROW_547340" localSheetId="1" hidden="1">'General Fund Detail'!$E$120</definedName>
    <definedName name="QB_ROW_550050" localSheetId="1" hidden="1">'General Fund Detail'!$F$88</definedName>
    <definedName name="QB_ROW_550350" localSheetId="1" hidden="1">'General Fund Detail'!$F$90</definedName>
    <definedName name="QB_ROW_55260" localSheetId="1" hidden="1">'General Fund Detail'!$G$210</definedName>
    <definedName name="QB_ROW_553060" localSheetId="1" hidden="1">'General Fund Detail'!$G$188</definedName>
    <definedName name="QB_ROW_553360" localSheetId="1" hidden="1">'General Fund Detail'!$G$192</definedName>
    <definedName name="QB_ROW_554050" localSheetId="1" hidden="1">'General Fund Detail'!$F$306</definedName>
    <definedName name="QB_ROW_554350" localSheetId="1" hidden="1">'General Fund Detail'!$F$313</definedName>
    <definedName name="QB_ROW_555260" localSheetId="1" hidden="1">'General Fund Detail'!$G$307</definedName>
    <definedName name="QB_ROW_556260" localSheetId="1" hidden="1">'General Fund Detail'!$G$308</definedName>
    <definedName name="QB_ROW_558260" localSheetId="1" hidden="1">'General Fund Detail'!$G$326</definedName>
    <definedName name="QB_ROW_559260" localSheetId="1" hidden="1">'General Fund Detail'!$G$333</definedName>
    <definedName name="QB_ROW_563260" localSheetId="1" hidden="1">'General Fund Detail'!$G$214</definedName>
    <definedName name="QB_ROW_565260" localSheetId="1" hidden="1">'General Fund Detail'!$G$227</definedName>
    <definedName name="QB_ROW_567250" localSheetId="1" hidden="1">'General Fund Detail'!$F$156</definedName>
    <definedName name="QB_ROW_569050" localSheetId="1" hidden="1">'General Fund Detail'!$F$102</definedName>
    <definedName name="QB_ROW_569350" localSheetId="1" hidden="1">'General Fund Detail'!$F$104</definedName>
    <definedName name="QB_ROW_57270" localSheetId="1" hidden="1">'General Fund Detail'!$H$194</definedName>
    <definedName name="QB_ROW_577040" localSheetId="1" hidden="1">'General Fund Detail'!$E$37</definedName>
    <definedName name="QB_ROW_577340" localSheetId="1" hidden="1">'General Fund Detail'!$E$50</definedName>
    <definedName name="QB_ROW_580230" localSheetId="1" hidden="1">'General Fund Detail'!#REF!</definedName>
    <definedName name="QB_ROW_584250" localSheetId="1" hidden="1">'General Fund Detail'!$F$46</definedName>
    <definedName name="QB_ROW_59260" localSheetId="1" hidden="1">'General Fund Detail'!$G$103</definedName>
    <definedName name="QB_ROW_602050" localSheetId="1" hidden="1">'General Fund Detail'!$F$300</definedName>
    <definedName name="QB_ROW_602350" localSheetId="1" hidden="1">'General Fund Detail'!$F$305</definedName>
    <definedName name="QB_ROW_60260" localSheetId="1" hidden="1">'General Fund Detail'!$G$212</definedName>
    <definedName name="QB_ROW_603260" localSheetId="1" hidden="1">'General Fund Detail'!$G$301</definedName>
    <definedName name="QB_ROW_604260" localSheetId="1" hidden="1">'General Fund Detail'!$G$302</definedName>
    <definedName name="QB_ROW_605260" localSheetId="1" hidden="1">'General Fund Detail'!$G$304</definedName>
    <definedName name="QB_ROW_609260" localSheetId="1" hidden="1">'General Fund Detail'!$G$303</definedName>
    <definedName name="QB_ROW_610270" localSheetId="1" hidden="1">'General Fund Detail'!$H$190</definedName>
    <definedName name="QB_ROW_611270" localSheetId="1" hidden="1">'General Fund Detail'!$H$185</definedName>
    <definedName name="QB_ROW_614040" localSheetId="1" hidden="1">'General Fund Detail'!$E$174</definedName>
    <definedName name="QB_ROW_614340" localSheetId="1" hidden="1">'General Fund Detail'!$E$204</definedName>
    <definedName name="QB_ROW_618050" localSheetId="1" hidden="1">'General Fund Detail'!$F$178</definedName>
    <definedName name="QB_ROW_618350" localSheetId="1" hidden="1">'General Fund Detail'!$F$203</definedName>
    <definedName name="QB_ROW_62260" localSheetId="1" hidden="1">'General Fund Detail'!$G$216</definedName>
    <definedName name="QB_ROW_629250" localSheetId="1" hidden="1">'General Fund Detail'!$F$44</definedName>
    <definedName name="QB_ROW_631250" localSheetId="1" hidden="1">'General Fund Detail'!$F$43</definedName>
    <definedName name="QB_ROW_63260" localSheetId="1" hidden="1">'General Fund Detail'!$G$215</definedName>
    <definedName name="QB_ROW_64260" localSheetId="1" hidden="1">'General Fund Detail'!$G$213</definedName>
    <definedName name="QB_ROW_65340" localSheetId="1" hidden="1">'General Fund Detail'!$E$6</definedName>
    <definedName name="QB_ROW_656050" localSheetId="1" hidden="1">'General Fund Detail'!$F$91</definedName>
    <definedName name="QB_ROW_656350" localSheetId="1" hidden="1">'General Fund Detail'!$F$93</definedName>
    <definedName name="QB_ROW_66240" localSheetId="1" hidden="1">'General Fund Detail'!$E$7</definedName>
    <definedName name="QB_ROW_663240" localSheetId="1" hidden="1">'General Fund Detail'!$E$22</definedName>
    <definedName name="QB_ROW_672240" localSheetId="1" hidden="1">'General Fund Detail'!$E$8</definedName>
    <definedName name="QB_ROW_678240" localSheetId="1" hidden="1">'General Fund Detail'!$E$29</definedName>
    <definedName name="QB_ROW_68030" localSheetId="1" hidden="1">'General Fund Detail'!$D$5</definedName>
    <definedName name="QB_ROW_683250" localSheetId="1" hidden="1">'General Fund Detail'!$F$45</definedName>
    <definedName name="QB_ROW_68330" localSheetId="1" hidden="1">'General Fund Detail'!$D$9</definedName>
    <definedName name="QB_ROW_687250" localSheetId="1" hidden="1">'General Fund Detail'!$F$69</definedName>
    <definedName name="QB_ROW_689250" localSheetId="1" hidden="1">'General Fund Detail'!$F$70</definedName>
    <definedName name="QB_ROW_692260" localSheetId="1" hidden="1">'General Fund Detail'!$G$65</definedName>
    <definedName name="QB_ROW_69240" localSheetId="1" hidden="1">'General Fund Detail'!$E$12</definedName>
    <definedName name="QB_ROW_694260" localSheetId="1" hidden="1">'General Fund Detail'!$G$53</definedName>
    <definedName name="QB_ROW_697260" localSheetId="1" hidden="1">'General Fund Detail'!$G$61</definedName>
    <definedName name="QB_ROW_70240" localSheetId="1" hidden="1">'General Fund Detail'!$E$11</definedName>
    <definedName name="QB_ROW_709260" localSheetId="1" hidden="1">'General Fund Detail'!$G$58</definedName>
    <definedName name="QB_ROW_71030" localSheetId="1" hidden="1">'General Fund Detail'!$D$15</definedName>
    <definedName name="QB_ROW_712040" localSheetId="1" hidden="1">'General Fund Detail'!$E$138</definedName>
    <definedName name="QB_ROW_712340" localSheetId="1" hidden="1">'General Fund Detail'!$E$145</definedName>
    <definedName name="QB_ROW_71330" localSheetId="1" hidden="1">'General Fund Detail'!$D$18</definedName>
    <definedName name="QB_ROW_714250" localSheetId="1" hidden="1">'General Fund Detail'!$F$141</definedName>
    <definedName name="QB_ROW_716250" localSheetId="1" hidden="1">'General Fund Detail'!$F$142</definedName>
    <definedName name="QB_ROW_718250" localSheetId="1" hidden="1">'General Fund Detail'!$F$143</definedName>
    <definedName name="QB_ROW_72240" localSheetId="1" hidden="1">'General Fund Detail'!$E$16</definedName>
    <definedName name="QB_ROW_724250" localSheetId="1" hidden="1">'General Fund Detail'!$F$144</definedName>
    <definedName name="QB_ROW_725250" localSheetId="1" hidden="1">'General Fund Detail'!$F$132</definedName>
    <definedName name="QB_ROW_726250" localSheetId="1" hidden="1">'General Fund Detail'!$F$154</definedName>
    <definedName name="QB_ROW_727250" localSheetId="1" hidden="1">'General Fund Detail'!$F$155</definedName>
    <definedName name="QB_ROW_729260" localSheetId="1" hidden="1">'General Fund Detail'!$G$168</definedName>
    <definedName name="QB_ROW_73240" localSheetId="1" hidden="1">'General Fund Detail'!$E$17</definedName>
    <definedName name="QB_ROW_743270" localSheetId="1" hidden="1">'General Fund Detail'!$H$113</definedName>
    <definedName name="QB_ROW_744270" localSheetId="1" hidden="1">'General Fund Detail'!$H$114</definedName>
    <definedName name="QB_ROW_745270" localSheetId="1" hidden="1">'General Fund Detail'!$H$115</definedName>
    <definedName name="QB_ROW_746270" localSheetId="1" hidden="1">'General Fund Detail'!$H$116</definedName>
    <definedName name="QB_ROW_747050" localSheetId="1" hidden="1">'General Fund Detail'!$F$105</definedName>
    <definedName name="QB_ROW_747350" localSheetId="1" hidden="1">'General Fund Detail'!$F$107</definedName>
    <definedName name="QB_ROW_750260" localSheetId="1" hidden="1">'General Fund Detail'!$G$106</definedName>
    <definedName name="QB_ROW_760260" localSheetId="1" hidden="1">'General Fund Detail'!$G$85</definedName>
    <definedName name="QB_ROW_76030" localSheetId="1" hidden="1">'General Fund Detail'!$D$27</definedName>
    <definedName name="QB_ROW_76330" localSheetId="1" hidden="1">'General Fund Detail'!$D$32</definedName>
    <definedName name="QB_ROW_767260" localSheetId="1" hidden="1">'General Fund Detail'!$G$75</definedName>
    <definedName name="QB_ROW_77240" localSheetId="1" hidden="1">'General Fund Detail'!$E$21</definedName>
    <definedName name="QB_ROW_773260" localSheetId="1" hidden="1">'General Fund Detail'!$G$249</definedName>
    <definedName name="QB_ROW_774040" localSheetId="1" hidden="1">'General Fund Detail'!$E$166</definedName>
    <definedName name="QB_ROW_774340" localSheetId="1" hidden="1">'General Fund Detail'!$E$173</definedName>
    <definedName name="QB_ROW_784260" localSheetId="1" hidden="1">'General Fund Detail'!$G$81</definedName>
    <definedName name="QB_ROW_785260" localSheetId="1" hidden="1">'General Fund Detail'!$G$84</definedName>
    <definedName name="QB_ROW_786260" localSheetId="1" hidden="1">'General Fund Detail'!$G$89</definedName>
    <definedName name="QB_ROW_787260" localSheetId="1" hidden="1">'General Fund Detail'!$G$92</definedName>
    <definedName name="QB_ROW_788260" localSheetId="1" hidden="1">'General Fund Detail'!$G$78</definedName>
    <definedName name="QB_ROW_789260" localSheetId="1" hidden="1">'General Fund Detail'!$G$74</definedName>
    <definedName name="QB_ROW_790260" localSheetId="1" hidden="1">'General Fund Detail'!$G$100</definedName>
    <definedName name="QB_ROW_792050" localSheetId="1" hidden="1">'General Fund Detail'!$F$111</definedName>
    <definedName name="QB_ROW_792350" localSheetId="1" hidden="1">'General Fund Detail'!$F$119</definedName>
    <definedName name="QB_ROW_814250" localSheetId="1" hidden="1">'General Fund Detail'!$F$48</definedName>
    <definedName name="QB_ROW_815250" localSheetId="1" hidden="1">'General Fund Detail'!$F$49</definedName>
    <definedName name="QB_ROW_821260" localSheetId="1" hidden="1">'General Fund Detail'!$G$170</definedName>
    <definedName name="QB_ROW_82240" localSheetId="1" hidden="1">'General Fund Detail'!$E$31</definedName>
    <definedName name="QB_ROW_830260" localSheetId="1" hidden="1">'General Fund Detail'!$G$95</definedName>
    <definedName name="QB_ROW_849050" localSheetId="1" hidden="1">'General Fund Detail'!$F$108</definedName>
    <definedName name="QB_ROW_849350" localSheetId="1" hidden="1">'General Fund Detail'!$F$110</definedName>
    <definedName name="QB_ROW_850260" localSheetId="1" hidden="1">'General Fund Detail'!$G$109</definedName>
    <definedName name="QB_ROW_854270" localSheetId="1" hidden="1">'General Fund Detail'!$H$117</definedName>
    <definedName name="QB_ROW_855030" localSheetId="1" hidden="1">'General Fund Detail'!$D$36</definedName>
    <definedName name="QB_ROW_855330" localSheetId="1" hidden="1">'General Fund Detail'!$D$121</definedName>
    <definedName name="QB_ROW_856030" localSheetId="1" hidden="1">'General Fund Detail'!$D$122</definedName>
    <definedName name="QB_ROW_856330" localSheetId="1" hidden="1">'General Fund Detail'!$D$205</definedName>
    <definedName name="QB_ROW_857030" localSheetId="1" hidden="1">'General Fund Detail'!$D$206</definedName>
    <definedName name="QB_ROW_857330" localSheetId="1" hidden="1">'General Fund Detail'!$D$337</definedName>
    <definedName name="QB_ROW_862350" localSheetId="1" hidden="1">'General Fund Detail'!$F$177</definedName>
    <definedName name="QB_ROW_864260" localSheetId="1" hidden="1">'General Fund Detail'!$G$222</definedName>
    <definedName name="QB_ROW_871260" localSheetId="1" hidden="1">'General Fund Detail'!$G$169</definedName>
    <definedName name="QB_ROW_872250" localSheetId="1" hidden="1">'General Fund Detail'!$F$176</definedName>
    <definedName name="QB_ROW_89240" localSheetId="1" hidden="1">'General Fund Detail'!$E$23</definedName>
    <definedName name="QB_ROW_894260" localSheetId="1" hidden="1">'General Fund Detail'!$G$298</definedName>
    <definedName name="QB_ROW_918260" localSheetId="1" hidden="1">'General Fund Detail'!$G$327</definedName>
    <definedName name="QB_ROW_919260" localSheetId="1" hidden="1">'General Fund Detail'!$G$310</definedName>
    <definedName name="QB_ROW_920260" localSheetId="1" hidden="1">'General Fund Detail'!$G$311</definedName>
    <definedName name="QB_ROW_922260" localSheetId="1" hidden="1">'General Fund Detail'!$G$312</definedName>
    <definedName name="QB_ROW_925270" localSheetId="1" hidden="1">'General Fund Detail'!$H$191</definedName>
    <definedName name="QB_ROW_930260" localSheetId="1" hidden="1">'General Fund Detail'!$G$323</definedName>
    <definedName name="QB_ROW_931260" localSheetId="1" hidden="1">'General Fund Detail'!$G$309</definedName>
    <definedName name="QB_ROW_940250" localSheetId="1" hidden="1">'General Fund Detail'!$F$243</definedName>
    <definedName name="QB_ROW_941260" localSheetId="1" hidden="1">'General Fund Detail'!$G$265</definedName>
    <definedName name="QB_ROW_951260" localSheetId="1" hidden="1">'General Fund Detail'!$G$232</definedName>
    <definedName name="QB_ROW_952270" localSheetId="1" hidden="1">'General Fund Detail'!$H$195</definedName>
    <definedName name="QB_ROW_954270" localSheetId="1" hidden="1">'General Fund Detail'!$H$197</definedName>
    <definedName name="QB_ROW_955250" localSheetId="1" hidden="1">'General Fund Detail'!$F$293</definedName>
    <definedName name="QB_ROW_956240" localSheetId="1" hidden="1">'General Fund Detail'!$E$20</definedName>
    <definedName name="QBCANSUPPORTUPDATE" localSheetId="1">TRUE</definedName>
    <definedName name="QBCOMPANYFILENAME" localSheetId="1">"C:\Users\skhan\Desktop\QUICKBOOKS COMPANIES\2015 First UU Church of Ann Arbor NEW 12-5-15.QBW"</definedName>
    <definedName name="QBENDDATE" localSheetId="1">20201231</definedName>
    <definedName name="QBHEADERSONSCREEN" localSheetId="1">FALSE</definedName>
    <definedName name="QBMETADATASIZE" localSheetId="1">7940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"bff9a91f34f34a25bd3e2a7537cf5485"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8</definedName>
    <definedName name="QBSTARTDATE" localSheetId="1">20201201</definedName>
  </definedNames>
  <calcPr calcId="152511"/>
</workbook>
</file>

<file path=xl/calcChain.xml><?xml version="1.0" encoding="utf-8"?>
<calcChain xmlns="http://schemas.openxmlformats.org/spreadsheetml/2006/main">
  <c r="M196" i="8" l="1"/>
  <c r="I196" i="8"/>
  <c r="M56" i="8"/>
  <c r="I56" i="8"/>
  <c r="M129" i="8"/>
  <c r="I129" i="8"/>
  <c r="M75" i="8"/>
  <c r="G5" i="6"/>
  <c r="G47" i="6"/>
  <c r="B8" i="4"/>
  <c r="B18" i="4"/>
  <c r="B12" i="4"/>
  <c r="B25" i="4"/>
  <c r="H5" i="6"/>
  <c r="B14" i="4"/>
  <c r="C8" i="4"/>
  <c r="C14" i="4"/>
  <c r="H64" i="6"/>
  <c r="H75" i="6"/>
  <c r="H66" i="6"/>
  <c r="C13" i="4"/>
  <c r="Q335" i="8" l="1"/>
  <c r="O335" i="8"/>
  <c r="M335" i="8"/>
  <c r="K335" i="8"/>
  <c r="I335" i="8"/>
  <c r="Q328" i="8"/>
  <c r="O328" i="8"/>
  <c r="M328" i="8"/>
  <c r="K328" i="8"/>
  <c r="I328" i="8"/>
  <c r="Q319" i="8"/>
  <c r="Q336" i="8" s="1"/>
  <c r="O319" i="8"/>
  <c r="M319" i="8"/>
  <c r="K319" i="8"/>
  <c r="I319" i="8"/>
  <c r="Q313" i="8"/>
  <c r="O313" i="8"/>
  <c r="M313" i="8"/>
  <c r="K313" i="8"/>
  <c r="I313" i="8"/>
  <c r="Q305" i="8"/>
  <c r="Q314" i="8" s="1"/>
  <c r="O305" i="8"/>
  <c r="M305" i="8"/>
  <c r="K305" i="8"/>
  <c r="I305" i="8"/>
  <c r="Q299" i="8"/>
  <c r="O299" i="8"/>
  <c r="M299" i="8"/>
  <c r="K299" i="8"/>
  <c r="I299" i="8"/>
  <c r="I314" i="8" s="1"/>
  <c r="M290" i="8"/>
  <c r="I290" i="8"/>
  <c r="Q284" i="8"/>
  <c r="O284" i="8"/>
  <c r="M284" i="8"/>
  <c r="K284" i="8"/>
  <c r="I284" i="8"/>
  <c r="Q280" i="8"/>
  <c r="O280" i="8"/>
  <c r="M280" i="8"/>
  <c r="K280" i="8"/>
  <c r="I280" i="8"/>
  <c r="Q275" i="8"/>
  <c r="Q291" i="8" s="1"/>
  <c r="O275" i="8"/>
  <c r="M275" i="8"/>
  <c r="K275" i="8"/>
  <c r="I275" i="8"/>
  <c r="Q269" i="8"/>
  <c r="O269" i="8"/>
  <c r="M269" i="8"/>
  <c r="K269" i="8"/>
  <c r="I269" i="8"/>
  <c r="Q259" i="8"/>
  <c r="O259" i="8"/>
  <c r="M259" i="8"/>
  <c r="K259" i="8"/>
  <c r="I259" i="8"/>
  <c r="Q255" i="8"/>
  <c r="O255" i="8"/>
  <c r="M255" i="8"/>
  <c r="K255" i="8"/>
  <c r="K261" i="8" s="1"/>
  <c r="I255" i="8"/>
  <c r="Q251" i="8"/>
  <c r="O251" i="8"/>
  <c r="M251" i="8"/>
  <c r="K251" i="8"/>
  <c r="I251" i="8"/>
  <c r="Q240" i="8"/>
  <c r="O240" i="8"/>
  <c r="M240" i="8"/>
  <c r="K240" i="8"/>
  <c r="I240" i="8"/>
  <c r="M236" i="8"/>
  <c r="I236" i="8"/>
  <c r="Q228" i="8"/>
  <c r="O228" i="8"/>
  <c r="M228" i="8"/>
  <c r="K228" i="8"/>
  <c r="I228" i="8"/>
  <c r="Q217" i="8"/>
  <c r="O217" i="8"/>
  <c r="O241" i="8" s="1"/>
  <c r="M217" i="8"/>
  <c r="K217" i="8"/>
  <c r="K241" i="8" s="1"/>
  <c r="I217" i="8"/>
  <c r="I241" i="8" s="1"/>
  <c r="Q202" i="8"/>
  <c r="O202" i="8"/>
  <c r="M202" i="8"/>
  <c r="K202" i="8"/>
  <c r="I202" i="8"/>
  <c r="Q199" i="8"/>
  <c r="O199" i="8"/>
  <c r="M199" i="8"/>
  <c r="K199" i="8"/>
  <c r="I199" i="8"/>
  <c r="Q192" i="8"/>
  <c r="O192" i="8"/>
  <c r="M192" i="8"/>
  <c r="K192" i="8"/>
  <c r="I192" i="8"/>
  <c r="Q187" i="8"/>
  <c r="O187" i="8"/>
  <c r="M187" i="8"/>
  <c r="K187" i="8"/>
  <c r="I187" i="8"/>
  <c r="Q182" i="8"/>
  <c r="O182" i="8"/>
  <c r="O203" i="8" s="1"/>
  <c r="O204" i="8" s="1"/>
  <c r="M182" i="8"/>
  <c r="K182" i="8"/>
  <c r="K203" i="8" s="1"/>
  <c r="K204" i="8" s="1"/>
  <c r="I182" i="8"/>
  <c r="Q173" i="8"/>
  <c r="O173" i="8"/>
  <c r="K173" i="8"/>
  <c r="Q171" i="8"/>
  <c r="O171" i="8"/>
  <c r="M171" i="8"/>
  <c r="M173" i="8" s="1"/>
  <c r="K171" i="8"/>
  <c r="I171" i="8"/>
  <c r="I173" i="8" s="1"/>
  <c r="Q165" i="8"/>
  <c r="O165" i="8"/>
  <c r="M165" i="8"/>
  <c r="K165" i="8"/>
  <c r="I165" i="8"/>
  <c r="Q161" i="8"/>
  <c r="O161" i="8"/>
  <c r="M161" i="8"/>
  <c r="K161" i="8"/>
  <c r="I161" i="8"/>
  <c r="Q158" i="8"/>
  <c r="O158" i="8"/>
  <c r="M158" i="8"/>
  <c r="K158" i="8"/>
  <c r="I158" i="8"/>
  <c r="Q145" i="8"/>
  <c r="O145" i="8"/>
  <c r="M145" i="8"/>
  <c r="K145" i="8"/>
  <c r="I145" i="8"/>
  <c r="Q137" i="8"/>
  <c r="O137" i="8"/>
  <c r="M137" i="8"/>
  <c r="K137" i="8"/>
  <c r="I137" i="8"/>
  <c r="K120" i="8"/>
  <c r="M119" i="8"/>
  <c r="K119" i="8"/>
  <c r="I119" i="8"/>
  <c r="Q118" i="8"/>
  <c r="Q119" i="8" s="1"/>
  <c r="O118" i="8"/>
  <c r="O119" i="8" s="1"/>
  <c r="O120" i="8" s="1"/>
  <c r="M118" i="8"/>
  <c r="K118" i="8"/>
  <c r="I118" i="8"/>
  <c r="Q110" i="8"/>
  <c r="O110" i="8"/>
  <c r="M110" i="8"/>
  <c r="K110" i="8"/>
  <c r="I110" i="8"/>
  <c r="Q107" i="8"/>
  <c r="O107" i="8"/>
  <c r="M107" i="8"/>
  <c r="K107" i="8"/>
  <c r="I107" i="8"/>
  <c r="Q104" i="8"/>
  <c r="Q120" i="8" s="1"/>
  <c r="O104" i="8"/>
  <c r="M104" i="8"/>
  <c r="K104" i="8"/>
  <c r="I104" i="8"/>
  <c r="Q101" i="8"/>
  <c r="O101" i="8"/>
  <c r="M101" i="8"/>
  <c r="M120" i="8" s="1"/>
  <c r="K101" i="8"/>
  <c r="I101" i="8"/>
  <c r="I120" i="8" s="1"/>
  <c r="Q97" i="8"/>
  <c r="Q96" i="8"/>
  <c r="O96" i="8"/>
  <c r="M96" i="8"/>
  <c r="K96" i="8"/>
  <c r="I96" i="8"/>
  <c r="Q93" i="8"/>
  <c r="O93" i="8"/>
  <c r="M93" i="8"/>
  <c r="K93" i="8"/>
  <c r="I93" i="8"/>
  <c r="Q90" i="8"/>
  <c r="O90" i="8"/>
  <c r="M90" i="8"/>
  <c r="K90" i="8"/>
  <c r="I90" i="8"/>
  <c r="Q87" i="8"/>
  <c r="O87" i="8"/>
  <c r="M87" i="8"/>
  <c r="K87" i="8"/>
  <c r="I87" i="8"/>
  <c r="Q82" i="8"/>
  <c r="O82" i="8"/>
  <c r="M82" i="8"/>
  <c r="K82" i="8"/>
  <c r="I82" i="8"/>
  <c r="Q79" i="8"/>
  <c r="O79" i="8"/>
  <c r="M79" i="8"/>
  <c r="K79" i="8"/>
  <c r="I79" i="8"/>
  <c r="Q76" i="8"/>
  <c r="O76" i="8"/>
  <c r="O97" i="8" s="1"/>
  <c r="M76" i="8"/>
  <c r="M97" i="8" s="1"/>
  <c r="K76" i="8"/>
  <c r="K97" i="8" s="1"/>
  <c r="I76" i="8"/>
  <c r="Q71" i="8"/>
  <c r="O71" i="8"/>
  <c r="M71" i="8"/>
  <c r="K71" i="8"/>
  <c r="I71" i="8"/>
  <c r="K67" i="8"/>
  <c r="Q66" i="8"/>
  <c r="O66" i="8"/>
  <c r="M66" i="8"/>
  <c r="K66" i="8"/>
  <c r="I66" i="8"/>
  <c r="Q62" i="8"/>
  <c r="O62" i="8"/>
  <c r="O67" i="8" s="1"/>
  <c r="M62" i="8"/>
  <c r="K62" i="8"/>
  <c r="I62" i="8"/>
  <c r="Q59" i="8"/>
  <c r="Q67" i="8" s="1"/>
  <c r="O59" i="8"/>
  <c r="M59" i="8"/>
  <c r="K59" i="8"/>
  <c r="I59" i="8"/>
  <c r="Q54" i="8"/>
  <c r="O54" i="8"/>
  <c r="M54" i="8"/>
  <c r="M67" i="8" s="1"/>
  <c r="K54" i="8"/>
  <c r="I54" i="8"/>
  <c r="I67" i="8" s="1"/>
  <c r="Q50" i="8"/>
  <c r="O50" i="8"/>
  <c r="M50" i="8"/>
  <c r="K50" i="8"/>
  <c r="K121" i="8" s="1"/>
  <c r="I50" i="8"/>
  <c r="Q32" i="8"/>
  <c r="O32" i="8"/>
  <c r="M32" i="8"/>
  <c r="K32" i="8"/>
  <c r="I32" i="8"/>
  <c r="Q26" i="8"/>
  <c r="O26" i="8"/>
  <c r="M26" i="8"/>
  <c r="K26" i="8"/>
  <c r="K33" i="8" s="1"/>
  <c r="I26" i="8"/>
  <c r="Q18" i="8"/>
  <c r="O18" i="8"/>
  <c r="M18" i="8"/>
  <c r="K18" i="8"/>
  <c r="I18" i="8"/>
  <c r="Q14" i="8"/>
  <c r="O14" i="8"/>
  <c r="O33" i="8" s="1"/>
  <c r="M14" i="8"/>
  <c r="K14" i="8"/>
  <c r="I14" i="8"/>
  <c r="Q9" i="8"/>
  <c r="Q33" i="8" s="1"/>
  <c r="O9" i="8"/>
  <c r="M9" i="8"/>
  <c r="K9" i="8"/>
  <c r="I9" i="8"/>
  <c r="K314" i="8" l="1"/>
  <c r="K336" i="8"/>
  <c r="M241" i="8"/>
  <c r="I261" i="8"/>
  <c r="O261" i="8"/>
  <c r="O337" i="8" s="1"/>
  <c r="K291" i="8"/>
  <c r="K337" i="8" s="1"/>
  <c r="M336" i="8"/>
  <c r="M337" i="8" s="1"/>
  <c r="O336" i="8"/>
  <c r="Q241" i="8"/>
  <c r="I336" i="8"/>
  <c r="I291" i="8"/>
  <c r="I337" i="8" s="1"/>
  <c r="M261" i="8"/>
  <c r="Q261" i="8"/>
  <c r="M291" i="8"/>
  <c r="O314" i="8"/>
  <c r="O291" i="8"/>
  <c r="M314" i="8"/>
  <c r="Q203" i="8"/>
  <c r="Q204" i="8" s="1"/>
  <c r="Q205" i="8" s="1"/>
  <c r="M203" i="8"/>
  <c r="M204" i="8" s="1"/>
  <c r="M205" i="8" s="1"/>
  <c r="I203" i="8"/>
  <c r="I204" i="8" s="1"/>
  <c r="I205" i="8" s="1"/>
  <c r="I97" i="8"/>
  <c r="I121" i="8" s="1"/>
  <c r="M33" i="8"/>
  <c r="I33" i="8"/>
  <c r="M121" i="8"/>
  <c r="O121" i="8"/>
  <c r="Q121" i="8"/>
  <c r="K205" i="8"/>
  <c r="O205" i="8"/>
  <c r="Q337" i="8"/>
  <c r="B37" i="4"/>
  <c r="B21" i="4"/>
  <c r="D8" i="4"/>
  <c r="K338" i="8" l="1"/>
  <c r="K339" i="8" s="1"/>
  <c r="Q338" i="8"/>
  <c r="Q339" i="8" s="1"/>
  <c r="M338" i="8"/>
  <c r="M339" i="8" s="1"/>
  <c r="I338" i="8"/>
  <c r="I339" i="8" s="1"/>
  <c r="O338" i="8"/>
  <c r="O339" i="8" s="1"/>
  <c r="D23" i="4"/>
  <c r="C24" i="4"/>
  <c r="C23" i="4"/>
  <c r="C12" i="4"/>
  <c r="C7" i="4"/>
  <c r="C15" i="4" l="1"/>
  <c r="J48" i="6" l="1"/>
  <c r="C11" i="4" l="1"/>
  <c r="C21" i="4" l="1"/>
  <c r="J67" i="6" l="1"/>
  <c r="J92" i="6" l="1"/>
  <c r="H81" i="6" l="1"/>
  <c r="J7" i="6"/>
  <c r="E36" i="3" l="1"/>
  <c r="J77" i="6" l="1"/>
  <c r="J65" i="6" l="1"/>
  <c r="J46" i="6" l="1"/>
  <c r="J70" i="6" l="1"/>
  <c r="J69" i="6"/>
  <c r="J6" i="6" l="1"/>
  <c r="J47" i="6" l="1"/>
  <c r="J94" i="6" l="1"/>
  <c r="G16" i="6" l="1"/>
  <c r="J14" i="6"/>
  <c r="G35" i="6" l="1"/>
  <c r="J73" i="6" l="1"/>
  <c r="G38" i="6" l="1"/>
  <c r="J15" i="6"/>
  <c r="J13" i="6"/>
  <c r="J16" i="6" l="1"/>
  <c r="J33" i="6"/>
  <c r="J35" i="6"/>
  <c r="J32" i="6"/>
  <c r="J30" i="6"/>
  <c r="J37" i="6"/>
  <c r="J36" i="6" l="1"/>
  <c r="E40" i="4" l="1"/>
  <c r="E38" i="4" l="1"/>
  <c r="H11" i="6"/>
  <c r="J10" i="6"/>
  <c r="G11" i="6"/>
  <c r="G56" i="6" l="1"/>
  <c r="G61" i="6" s="1"/>
  <c r="J74" i="6"/>
  <c r="F36" i="3" l="1"/>
  <c r="F29" i="3"/>
  <c r="F19" i="3"/>
  <c r="F11" i="3"/>
  <c r="J66" i="6"/>
  <c r="F38" i="3" l="1"/>
  <c r="F39" i="3" s="1"/>
  <c r="J18" i="6" l="1"/>
  <c r="J19" i="6"/>
  <c r="J20" i="6"/>
  <c r="E37" i="4"/>
  <c r="J86" i="6"/>
  <c r="J21" i="6"/>
  <c r="J5" i="6"/>
  <c r="J62" i="6"/>
  <c r="E29" i="3" l="1"/>
  <c r="H101" i="6"/>
  <c r="J68" i="6"/>
  <c r="G37" i="4"/>
  <c r="G33" i="4"/>
  <c r="D33" i="4"/>
  <c r="C33" i="4"/>
  <c r="B33" i="4"/>
  <c r="E32" i="4"/>
  <c r="E31" i="4"/>
  <c r="E30" i="4"/>
  <c r="E29" i="4"/>
  <c r="E28" i="4"/>
  <c r="D26" i="4"/>
  <c r="C26" i="4"/>
  <c r="B26" i="4"/>
  <c r="E25" i="4"/>
  <c r="E24" i="4"/>
  <c r="E23" i="4"/>
  <c r="E22" i="4"/>
  <c r="E21" i="4"/>
  <c r="G20" i="4"/>
  <c r="E20" i="4"/>
  <c r="E19" i="4"/>
  <c r="E18" i="4"/>
  <c r="D16" i="4"/>
  <c r="C16" i="4"/>
  <c r="B16" i="4"/>
  <c r="E15" i="4"/>
  <c r="E14" i="4"/>
  <c r="E13" i="4"/>
  <c r="H12" i="4"/>
  <c r="E12" i="4"/>
  <c r="E11" i="4"/>
  <c r="D9" i="4"/>
  <c r="C9" i="4"/>
  <c r="B9" i="4"/>
  <c r="E8" i="4"/>
  <c r="E7" i="4"/>
  <c r="E6" i="4"/>
  <c r="E5" i="4"/>
  <c r="E4" i="4"/>
  <c r="I12" i="4" l="1"/>
  <c r="E33" i="4"/>
  <c r="B35" i="4"/>
  <c r="E26" i="4"/>
  <c r="E16" i="4"/>
  <c r="C35" i="4"/>
  <c r="E9" i="4"/>
  <c r="I101" i="6"/>
  <c r="E35" i="4" l="1"/>
  <c r="D35" i="4" s="1"/>
  <c r="B36" i="4"/>
  <c r="B39" i="4" s="1"/>
  <c r="J99" i="6"/>
  <c r="J98" i="6"/>
  <c r="J97" i="6"/>
  <c r="J96" i="6"/>
  <c r="J95" i="6"/>
  <c r="J93" i="6"/>
  <c r="J91" i="6"/>
  <c r="J90" i="6"/>
  <c r="J89" i="6"/>
  <c r="J88" i="6"/>
  <c r="J87" i="6"/>
  <c r="J85" i="6"/>
  <c r="J84" i="6"/>
  <c r="J83" i="6"/>
  <c r="J82" i="6"/>
  <c r="J81" i="6"/>
  <c r="J80" i="6"/>
  <c r="J79" i="6"/>
  <c r="J78" i="6"/>
  <c r="J76" i="6"/>
  <c r="J75" i="6"/>
  <c r="J72" i="6"/>
  <c r="J71" i="6"/>
  <c r="J64" i="6"/>
  <c r="J63" i="6"/>
  <c r="I56" i="6"/>
  <c r="H56" i="6"/>
  <c r="J55" i="6"/>
  <c r="J54" i="6"/>
  <c r="J53" i="6"/>
  <c r="J52" i="6"/>
  <c r="I50" i="6"/>
  <c r="H50" i="6"/>
  <c r="G50" i="6"/>
  <c r="J49" i="6"/>
  <c r="J45" i="6"/>
  <c r="J43" i="6"/>
  <c r="I57" i="6" l="1"/>
  <c r="G57" i="6"/>
  <c r="D36" i="4"/>
  <c r="J50" i="6"/>
  <c r="H57" i="6"/>
  <c r="J56" i="6"/>
  <c r="J34" i="6"/>
  <c r="J38" i="6"/>
  <c r="J31" i="6"/>
  <c r="I27" i="6"/>
  <c r="H27" i="6"/>
  <c r="H28" i="6" s="1"/>
  <c r="G27" i="6"/>
  <c r="G28" i="6" s="1"/>
  <c r="G100" i="6" s="1"/>
  <c r="J26" i="6"/>
  <c r="J25" i="6"/>
  <c r="J24" i="6"/>
  <c r="J23" i="6"/>
  <c r="J22" i="6"/>
  <c r="I11" i="6"/>
  <c r="J9" i="6"/>
  <c r="J8" i="6"/>
  <c r="J11" i="6" l="1"/>
  <c r="C36" i="4"/>
  <c r="D39" i="4"/>
  <c r="G39" i="6"/>
  <c r="J57" i="6"/>
  <c r="I28" i="6"/>
  <c r="I39" i="6" s="1"/>
  <c r="H39" i="6"/>
  <c r="J27" i="6"/>
  <c r="J28" i="6" l="1"/>
  <c r="J39" i="6" s="1"/>
  <c r="E36" i="4"/>
  <c r="C39" i="4"/>
  <c r="J61" i="6"/>
  <c r="G59" i="6"/>
  <c r="H59" i="6"/>
  <c r="D36" i="3"/>
  <c r="D29" i="3"/>
  <c r="E19" i="3"/>
  <c r="D19" i="3"/>
  <c r="E11" i="3"/>
  <c r="D11" i="3"/>
  <c r="J100" i="6"/>
  <c r="I102" i="6"/>
  <c r="H102" i="6"/>
  <c r="J101" i="6" l="1"/>
  <c r="J102" i="6" s="1"/>
  <c r="D38" i="3"/>
  <c r="E38" i="3"/>
  <c r="E39" i="3" s="1"/>
  <c r="I59" i="6"/>
  <c r="J59" i="6" s="1"/>
  <c r="G101" i="6"/>
  <c r="D41" i="4"/>
  <c r="C41" i="4" l="1"/>
  <c r="E39" i="4"/>
  <c r="B41" i="4"/>
  <c r="D39" i="3"/>
  <c r="D46" i="3" s="1"/>
  <c r="D48" i="3" s="1"/>
  <c r="G102" i="6"/>
  <c r="E41" i="4" l="1"/>
</calcChain>
</file>

<file path=xl/sharedStrings.xml><?xml version="1.0" encoding="utf-8"?>
<sst xmlns="http://schemas.openxmlformats.org/spreadsheetml/2006/main" count="535" uniqueCount="487">
  <si>
    <t>Income</t>
  </si>
  <si>
    <t>4010 · Pledge Related  Income</t>
  </si>
  <si>
    <t>4015 · Weekly Collection</t>
  </si>
  <si>
    <t>5340 · Facilities Rental</t>
  </si>
  <si>
    <t>5490 · Other Income</t>
  </si>
  <si>
    <t>5600 · Fundraising Income</t>
  </si>
  <si>
    <t>Total Income</t>
  </si>
  <si>
    <t>Expense</t>
  </si>
  <si>
    <t>W · Worship and Music</t>
  </si>
  <si>
    <t>SJ · Social Justice</t>
  </si>
  <si>
    <t>CL · Community Life</t>
  </si>
  <si>
    <t>CU · Culture</t>
  </si>
  <si>
    <t>B · Buildings</t>
  </si>
  <si>
    <t>O · Office Services</t>
  </si>
  <si>
    <t>D · Debt &amp; Mortgage</t>
  </si>
  <si>
    <t>F · Finance</t>
  </si>
  <si>
    <t>FR · Fundraising</t>
  </si>
  <si>
    <t>B&amp;O · Building &amp; Office Team</t>
  </si>
  <si>
    <t>Total Expense</t>
  </si>
  <si>
    <t>Direct Program Expenses</t>
  </si>
  <si>
    <t>SG · Spiritual Growth and Development</t>
  </si>
  <si>
    <t>Subtotal</t>
  </si>
  <si>
    <t>Stewardship Expenses</t>
  </si>
  <si>
    <t>Other Employee Related Expenses</t>
  </si>
  <si>
    <t>Personnel Expenses</t>
  </si>
  <si>
    <t>Ministers</t>
  </si>
  <si>
    <t>Music Staff</t>
  </si>
  <si>
    <t>Spiritual Growth and Dev Staff</t>
  </si>
  <si>
    <t>Other Program Staff</t>
  </si>
  <si>
    <t>Increase(Decrease) in Net Position Before Transfers &amp; Depreciation</t>
  </si>
  <si>
    <t>Transfers</t>
  </si>
  <si>
    <t>Depreciation</t>
  </si>
  <si>
    <t>Increase(Decrease) in Net Position</t>
  </si>
  <si>
    <t>Temporarily</t>
  </si>
  <si>
    <t>Permanently</t>
  </si>
  <si>
    <t>Unrestricted</t>
  </si>
  <si>
    <t>Restricted</t>
  </si>
  <si>
    <t>Pledge Related Income</t>
  </si>
  <si>
    <t>Weekly Collection</t>
  </si>
  <si>
    <t>Rentals</t>
  </si>
  <si>
    <t>Fundraising</t>
  </si>
  <si>
    <t>Other Income</t>
  </si>
  <si>
    <t>TOTAL INCOME</t>
  </si>
  <si>
    <t>Worship &amp; Music</t>
  </si>
  <si>
    <t>Spiritual Growth &amp; Development</t>
  </si>
  <si>
    <t>Social Justice</t>
  </si>
  <si>
    <t>Community</t>
  </si>
  <si>
    <t>Culture</t>
  </si>
  <si>
    <t>Buildings</t>
  </si>
  <si>
    <t>Grounds</t>
  </si>
  <si>
    <t>Office</t>
  </si>
  <si>
    <t>Debt &amp; Mortgage</t>
  </si>
  <si>
    <t>Finance</t>
  </si>
  <si>
    <t>Other Personnel Expenses</t>
  </si>
  <si>
    <t>Spiritual Growth &amp; Development Staff</t>
  </si>
  <si>
    <t>Building &amp; Office Team</t>
  </si>
  <si>
    <t>Net position before transfers</t>
  </si>
  <si>
    <t>TOTAL EXPENSES</t>
  </si>
  <si>
    <t>ASSETS</t>
  </si>
  <si>
    <t>Total</t>
  </si>
  <si>
    <t>Current Assets</t>
  </si>
  <si>
    <t>Cash</t>
  </si>
  <si>
    <t>General Fund - UB&amp;T Checking</t>
  </si>
  <si>
    <t>Reserve Fund - UB&amp;T Money Market</t>
  </si>
  <si>
    <t>Long-Term Investments</t>
  </si>
  <si>
    <t>Due from General Fund</t>
  </si>
  <si>
    <t>21st Century Endowment Acct</t>
  </si>
  <si>
    <t>Liberal Church Endowment Acct</t>
  </si>
  <si>
    <t>Jackson Endowment Acct</t>
  </si>
  <si>
    <t>Jackson Social Welfare Endow Acct</t>
  </si>
  <si>
    <t>Schwab Stock Accounts</t>
  </si>
  <si>
    <t>UUA Common Endowment</t>
  </si>
  <si>
    <t>Total Investments</t>
  </si>
  <si>
    <t>Total Current Assets</t>
  </si>
  <si>
    <t>Capital Assets</t>
  </si>
  <si>
    <t>Less: Accumulated Depreciation</t>
  </si>
  <si>
    <t>Equipment and Furnishings</t>
  </si>
  <si>
    <t>Land</t>
  </si>
  <si>
    <t>Total Capital Assets</t>
  </si>
  <si>
    <t>TOTAL ASSETS</t>
  </si>
  <si>
    <t>LIABILITIES &amp; NET POSITION</t>
  </si>
  <si>
    <t>Liabilities</t>
  </si>
  <si>
    <t>Total Current Liabilities</t>
  </si>
  <si>
    <t>Long Term Liabilities</t>
  </si>
  <si>
    <t>Loan - Jackson Endowment</t>
  </si>
  <si>
    <t>Loan - Liberal Church Endowment</t>
  </si>
  <si>
    <t>Loan - Member</t>
  </si>
  <si>
    <t>Total Long Term Liabilities</t>
  </si>
  <si>
    <t>Total Liabilities</t>
  </si>
  <si>
    <t>Net Assets</t>
  </si>
  <si>
    <t>Net Position</t>
  </si>
  <si>
    <t>Net Investment in Capital Assets</t>
  </si>
  <si>
    <t>Allison Dybdahl Fund</t>
  </si>
  <si>
    <t>Alpha House/IHN Fund</t>
  </si>
  <si>
    <t>Comprehensive Campaign Fund</t>
  </si>
  <si>
    <t>Fair Trade Coffee Sales Fund</t>
  </si>
  <si>
    <t>Family Camp Fund</t>
  </si>
  <si>
    <t>Grocery Coupon/Scrip Fund</t>
  </si>
  <si>
    <t>Habitat For Humanity Fund</t>
  </si>
  <si>
    <t>Khasi Hills Student Sponsor Fund</t>
  </si>
  <si>
    <t>Kinney Music Fund</t>
  </si>
  <si>
    <t>Klein Lectureship Fund</t>
  </si>
  <si>
    <t>Memorial Plaques Fund</t>
  </si>
  <si>
    <t>Men's Council Fund</t>
  </si>
  <si>
    <t>Ministers' Discretionary Fund</t>
  </si>
  <si>
    <t>Partner Church Fund</t>
  </si>
  <si>
    <t>QUUest Bookstore Fund</t>
  </si>
  <si>
    <t>Sanctuary Flowers Fund</t>
  </si>
  <si>
    <t>Shared &amp; Special Collections Fund</t>
  </si>
  <si>
    <t>21st Century Endowment Fund</t>
  </si>
  <si>
    <t>Liberal Church Endowment Fund</t>
  </si>
  <si>
    <t>Jackson Endowment Fund</t>
  </si>
  <si>
    <t>Jackson Social Welfare Endow Fund</t>
  </si>
  <si>
    <t>UUA Common Endowment Fund</t>
  </si>
  <si>
    <t>Total Net Position</t>
  </si>
  <si>
    <t>TOTAL LIABILITIES AND NET POSITION</t>
  </si>
  <si>
    <t>Prepared by S. Khan</t>
  </si>
  <si>
    <t>G   Grounds</t>
  </si>
  <si>
    <t>Capital Projects</t>
  </si>
  <si>
    <t>150th Anniversary Fund</t>
  </si>
  <si>
    <t>Sabbatical Fund</t>
  </si>
  <si>
    <t>Capital Projects Reserve Fund</t>
  </si>
  <si>
    <t>Geisenhainer Music Fund</t>
  </si>
  <si>
    <t>Capitalized Re-Finance Costs</t>
  </si>
  <si>
    <t>Loan/Mortgage - ONB</t>
  </si>
  <si>
    <t>Depreciable Land Improvements</t>
  </si>
  <si>
    <t>SGD Building</t>
  </si>
  <si>
    <t>Main Building</t>
  </si>
  <si>
    <t>Other Assets</t>
  </si>
  <si>
    <t xml:space="preserve"> </t>
  </si>
  <si>
    <t>Other</t>
  </si>
  <si>
    <t>Friday Night Activities Fund</t>
  </si>
  <si>
    <t>Building Improvements</t>
  </si>
  <si>
    <t>SGD Fund</t>
  </si>
  <si>
    <t>YRUU Fund</t>
  </si>
  <si>
    <t>Reserve Fund - UB&amp;T Checking</t>
  </si>
  <si>
    <t>Security Deposits from Renters</t>
  </si>
  <si>
    <t>Sanctuary Congregation Fund</t>
  </si>
  <si>
    <t>Wind/Solar Fund</t>
  </si>
  <si>
    <t>DACA Scholarship Fund</t>
  </si>
  <si>
    <t>Total Other Assets</t>
  </si>
  <si>
    <t>Deferred Donation - IA Land Proceeds</t>
  </si>
  <si>
    <t>Womyn's Council Funds</t>
  </si>
  <si>
    <t>Border Trips Fund</t>
  </si>
  <si>
    <t>Prepaid Expenses</t>
  </si>
  <si>
    <t>YTD Budget</t>
  </si>
  <si>
    <t>Memo:</t>
  </si>
  <si>
    <t xml:space="preserve">Direct Program Expenses  </t>
  </si>
  <si>
    <t xml:space="preserve">Stewardship Expenses  </t>
  </si>
  <si>
    <t xml:space="preserve">Personnel Expenses  </t>
  </si>
  <si>
    <t>Sanctuary Bonds</t>
  </si>
  <si>
    <t>Deferred Donation - Prepaid Pledges 2020</t>
  </si>
  <si>
    <t>TOTAL PROGRAM</t>
  </si>
  <si>
    <t>TOTAL STEWARDSHIP</t>
  </si>
  <si>
    <t>TOTAL PERSONNEL</t>
  </si>
  <si>
    <t>Net Position Beginning January 1, 2020</t>
  </si>
  <si>
    <t>Handbell Concert Fund</t>
  </si>
  <si>
    <t>N/P SBA PPP Loan</t>
  </si>
  <si>
    <t>Note Receivable - Sr. Minister</t>
  </si>
  <si>
    <t>SBA PPP Loan Proceeds Account</t>
  </si>
  <si>
    <t>-</t>
  </si>
  <si>
    <t>UUCivs Vote 2020 Fund</t>
  </si>
  <si>
    <t>Challenging Racism Fund</t>
  </si>
  <si>
    <t>Deferred Donation - Prepaid Pledges 2021</t>
  </si>
  <si>
    <t>December 31, 2020</t>
  </si>
  <si>
    <t>2020 Actual</t>
  </si>
  <si>
    <t>2020 Budget</t>
  </si>
  <si>
    <t>Net Position December 31, 2020</t>
  </si>
  <si>
    <t>Deferred Auction Ticket Sales</t>
  </si>
  <si>
    <t>Ordinary Income/Expense</t>
  </si>
  <si>
    <t>4030 · Pledge Drive Receipts</t>
  </si>
  <si>
    <t>4040 · Continuing Canvass</t>
  </si>
  <si>
    <t>4060 · Using Prepaid Pledges in Gen Fd</t>
  </si>
  <si>
    <t>Total 4010 · Pledge Related  Income</t>
  </si>
  <si>
    <t>4016 · Cash</t>
  </si>
  <si>
    <t>4017 · Checks</t>
  </si>
  <si>
    <t>4015 · Weekly Collection - Other</t>
  </si>
  <si>
    <t>Total 4015 · Weekly Collection</t>
  </si>
  <si>
    <t>5341 · Long-Term Rentals</t>
  </si>
  <si>
    <t>5342 · Short-Term Rentals</t>
  </si>
  <si>
    <t>Total 5340 · Facilities Rental</t>
  </si>
  <si>
    <t>5995 · CC Processing Costs Income</t>
  </si>
  <si>
    <t>5310 · Interest Income</t>
  </si>
  <si>
    <t>5454 · Social Hour Income- Unrestrictd</t>
  </si>
  <si>
    <t>5492 · Miscellaneous Income</t>
  </si>
  <si>
    <t>5561 · Memory and Tribute Gifts</t>
  </si>
  <si>
    <t>Total 5490 · Other Income</t>
  </si>
  <si>
    <t>5603 · Coffee Income UNRESTRICTED</t>
  </si>
  <si>
    <t>5604 · Bookstor Fnd Donates to Gen Fnd</t>
  </si>
  <si>
    <t>5605 · Grocery Scrip/Amazon UNRESTRICT</t>
  </si>
  <si>
    <t>5606 · Auction - Goods &amp; Services</t>
  </si>
  <si>
    <t>Total 5600 · Fundraising Income</t>
  </si>
  <si>
    <t>62b · Program Expenses</t>
  </si>
  <si>
    <t>7010 · Guest Performers</t>
  </si>
  <si>
    <t>8022 · Piano Maintenance</t>
  </si>
  <si>
    <t>8023 · Promotional - Music</t>
  </si>
  <si>
    <t>8111 · Worship Supplies</t>
  </si>
  <si>
    <t>8112 · Music Supplies</t>
  </si>
  <si>
    <t>8113 · Consult/Speaker - Worship</t>
  </si>
  <si>
    <t>8119 · Copy/Print - Music</t>
  </si>
  <si>
    <t>8129 · Refreshments - Music</t>
  </si>
  <si>
    <t>8149 · Conference/Workshop- Music</t>
  </si>
  <si>
    <t>8152 · Equipment - Music</t>
  </si>
  <si>
    <t>8175 · Childcare</t>
  </si>
  <si>
    <t>8176 · Organ Dues/Fees</t>
  </si>
  <si>
    <t>Total W · Worship and Music</t>
  </si>
  <si>
    <t>SG · Spiritual Growth and Developmen</t>
  </si>
  <si>
    <t>8031 · Children's Ministry Team</t>
  </si>
  <si>
    <t>8432 · Supplies - Children Min</t>
  </si>
  <si>
    <t>Total 8031 · Children's Ministry Team</t>
  </si>
  <si>
    <t>8037 · Our Whole Lives</t>
  </si>
  <si>
    <t>8038 · SGD Supplies</t>
  </si>
  <si>
    <t>8070 · YRUU</t>
  </si>
  <si>
    <t>8447 · Supplies - YRUU</t>
  </si>
  <si>
    <t>Total 8070 · YRUU</t>
  </si>
  <si>
    <t>8075 · Coming of Age</t>
  </si>
  <si>
    <t>8435 · Supplies - CoA</t>
  </si>
  <si>
    <t>Total 8075 · Coming of Age</t>
  </si>
  <si>
    <t>8426 · Child &amp; Nursery Care</t>
  </si>
  <si>
    <t>8427 · Adult SGD</t>
  </si>
  <si>
    <t>8430 · Supplies - Adult SGD</t>
  </si>
  <si>
    <t>Total 8427 · Adult SGD</t>
  </si>
  <si>
    <t>Total SG · Spiritual Growth and Developmen</t>
  </si>
  <si>
    <t>8423 · External Grants - SJ</t>
  </si>
  <si>
    <t>8425 · Social Justice Supplies</t>
  </si>
  <si>
    <t>Total SJ · Social Justice</t>
  </si>
  <si>
    <t>81200 · Social Hour Exp</t>
  </si>
  <si>
    <t>8120 · Social Hour Supplies</t>
  </si>
  <si>
    <t>8736 · Refreshments - SH</t>
  </si>
  <si>
    <t>Total 81200 · Social Hour Exp</t>
  </si>
  <si>
    <t>81800 · Pastoral Care</t>
  </si>
  <si>
    <t>8180 · Pastoral Care Supplies</t>
  </si>
  <si>
    <t>Total 81800 · Pastoral Care</t>
  </si>
  <si>
    <t>81822 · Chalice Circles</t>
  </si>
  <si>
    <t>8182 · Supplies - CC</t>
  </si>
  <si>
    <t>Total 81822 · Chalice Circles</t>
  </si>
  <si>
    <t>81833 · Hospitality Ministry</t>
  </si>
  <si>
    <t>8183 · Supplies - HM</t>
  </si>
  <si>
    <t>8729 · Promotion - H</t>
  </si>
  <si>
    <t>81833 · Hospitality Ministry - Other</t>
  </si>
  <si>
    <t>Total 81833 · Hospitality Ministry</t>
  </si>
  <si>
    <t>81844 · Interweave</t>
  </si>
  <si>
    <t>8184 · Supplies - I</t>
  </si>
  <si>
    <t>Total 81844 · Interweave</t>
  </si>
  <si>
    <t>81855 · Multi Generational</t>
  </si>
  <si>
    <t>8185 · Supplies - MG</t>
  </si>
  <si>
    <t>Total 81855 · Multi Generational</t>
  </si>
  <si>
    <t>8676 · Assessibility</t>
  </si>
  <si>
    <t>8059 · Cater/Food/Refresh- Access</t>
  </si>
  <si>
    <t>Total 8676 · Assessibility</t>
  </si>
  <si>
    <t>Total CL · Community Life</t>
  </si>
  <si>
    <t>86700 · Board of Trustees</t>
  </si>
  <si>
    <t>8670 · Supplies - Board</t>
  </si>
  <si>
    <t>Total 86700 · Board of Trustees</t>
  </si>
  <si>
    <t>8674 · Denominational Connections</t>
  </si>
  <si>
    <t>8531 · UUA Annual Program Fund</t>
  </si>
  <si>
    <t>Total 8674 · Denominational Connections</t>
  </si>
  <si>
    <t>8692 · Leadership Development</t>
  </si>
  <si>
    <t>8695 · Copy/Print - Ldr</t>
  </si>
  <si>
    <t>Total 8692 · Leadership Development</t>
  </si>
  <si>
    <t>8773 · Reflective Conversations</t>
  </si>
  <si>
    <t>8772 · Supplies- Reflective Connection</t>
  </si>
  <si>
    <t>Total 8773 · Reflective Conversations</t>
  </si>
  <si>
    <t>8289 · Khasi Hills Sponsor Fund Expens</t>
  </si>
  <si>
    <t>8638 · Transylvania Partner Church</t>
  </si>
  <si>
    <t>8683 · Dues/Fees - TP</t>
  </si>
  <si>
    <t>8687 · Salary Supplement - TP</t>
  </si>
  <si>
    <t>8688 · Pilgrimage</t>
  </si>
  <si>
    <t>8691 · Youth Scholarship - TP</t>
  </si>
  <si>
    <t>8768 · Postage/Ship</t>
  </si>
  <si>
    <t>Total 8638 · Transylvania Partner Church</t>
  </si>
  <si>
    <t>Total 8289 · Khasi Hills Sponsor Fund Expens</t>
  </si>
  <si>
    <t>Total CU · Culture</t>
  </si>
  <si>
    <t>Total 62b · Program Expenses</t>
  </si>
  <si>
    <t>62c · Stewardship Expenses</t>
  </si>
  <si>
    <t>8116 · Supplies - Cleaning &amp; Maint</t>
  </si>
  <si>
    <t>8118 · Supplies - Kitchenettes</t>
  </si>
  <si>
    <t>8231 · Gas</t>
  </si>
  <si>
    <t>8232 · Electricity</t>
  </si>
  <si>
    <t>8240 · Custodial Service</t>
  </si>
  <si>
    <t>8265 · HVAC Maintenance</t>
  </si>
  <si>
    <t>8267 · Elevator Maintenance</t>
  </si>
  <si>
    <t>8456 · Misc Maintenance - Bldg</t>
  </si>
  <si>
    <t>8469 · Pest Control</t>
  </si>
  <si>
    <t>8522 · Commercial &amp; Liab Insurance</t>
  </si>
  <si>
    <t>8544 · Trash &amp; Recycling</t>
  </si>
  <si>
    <t>8545 · Fire System Monitoring</t>
  </si>
  <si>
    <t>8650 · Fees and Taxes</t>
  </si>
  <si>
    <t>Total B · Buildings</t>
  </si>
  <si>
    <t>Gr · Grounds</t>
  </si>
  <si>
    <t>8223 · Sewer/Water Maintenance</t>
  </si>
  <si>
    <t>8269 · Landscape &amp; Lawncare</t>
  </si>
  <si>
    <t>8458 · Snow Plowing</t>
  </si>
  <si>
    <t>8460 · Miscellaneous - Grounds</t>
  </si>
  <si>
    <t>8462 · Downy Hawthorne</t>
  </si>
  <si>
    <t>8468 · Supplies - Grounds</t>
  </si>
  <si>
    <t>Total Gr · Grounds</t>
  </si>
  <si>
    <t>8110 · Office Supplies</t>
  </si>
  <si>
    <t>8131 · Telephone</t>
  </si>
  <si>
    <t>8140 · Postage</t>
  </si>
  <si>
    <t>8168 · Website Constant Contact Usage</t>
  </si>
  <si>
    <t>8172 · Copying/Printing Expenses</t>
  </si>
  <si>
    <t>8262 · Office Equipment Lease</t>
  </si>
  <si>
    <t>8264 · Computer Maintenance &amp; Repair</t>
  </si>
  <si>
    <t>8470 · Website - UUISM Usage</t>
  </si>
  <si>
    <t>8471 · Computer Purchase</t>
  </si>
  <si>
    <t>8561 · ACS Database Support</t>
  </si>
  <si>
    <t>8720 · Furniture - Office</t>
  </si>
  <si>
    <t>Total O · Office Services</t>
  </si>
  <si>
    <t>8250 · Monthly Mortgage Payment</t>
  </si>
  <si>
    <t>Total D · Debt &amp; Mortgage</t>
  </si>
  <si>
    <t>7520 · Bookkeeping Service</t>
  </si>
  <si>
    <t>8678 · Bank &amp; Merchant Service Fees</t>
  </si>
  <si>
    <t>Total F · Finance</t>
  </si>
  <si>
    <t>8511 · Annual Pledge Drive</t>
  </si>
  <si>
    <t>8473 · Postage - AP</t>
  </si>
  <si>
    <t>8787 · Sunderland Society</t>
  </si>
  <si>
    <t>8883 · Copy/Print</t>
  </si>
  <si>
    <t>Total 8511 · Annual Pledge Drive</t>
  </si>
  <si>
    <t>8680 · Goods &amp; Services Auction</t>
  </si>
  <si>
    <t>Total FR · Fundraising</t>
  </si>
  <si>
    <t>OTH PER · Other Employee Related Expenses</t>
  </si>
  <si>
    <t>8242 · Workers Compensation Insurance</t>
  </si>
  <si>
    <t>8788 · Ordination</t>
  </si>
  <si>
    <t>8937 · Employee &amp; Volunter Recognition</t>
  </si>
  <si>
    <t>BD&amp;OFFT · Bldg &amp; Office Team Prof Ex Allw</t>
  </si>
  <si>
    <t>72771 · Exec Dir Prof Expense Allow</t>
  </si>
  <si>
    <t>72772 · Office Admin Prof Expense Allow</t>
  </si>
  <si>
    <t>Total BD&amp;OFFT · Bldg &amp; Office Team Prof Ex Allw</t>
  </si>
  <si>
    <t>MU PROF · Music Staff Prof Expense Allow</t>
  </si>
  <si>
    <t>72773 · Dir Worship Music Prof Exp</t>
  </si>
  <si>
    <t>7728 · Accompanist Prof Exp Allow</t>
  </si>
  <si>
    <t>MU PROF · Music Staff Prof Expense Allow - Other</t>
  </si>
  <si>
    <t>Total MU PROF · Music Staff Prof Expense Allow</t>
  </si>
  <si>
    <t>OT PROF · Other Prog Staff Prof Exp Allow</t>
  </si>
  <si>
    <t>72774 · Welcome Min Coord Prof Exp Allw</t>
  </si>
  <si>
    <t>72775 · Progr Coord Prof Expense Allow</t>
  </si>
  <si>
    <t>75253 · Coord or Congr Life Prof Exp</t>
  </si>
  <si>
    <t>Total OT PROF · Other Prog Staff Prof Exp Allow</t>
  </si>
  <si>
    <t>PROFF · Min. Staff Prof Expense Allow</t>
  </si>
  <si>
    <t>72433 · Senior Min Prof Exp Allow</t>
  </si>
  <si>
    <t>73409 · Exec Minister Prof Expenses</t>
  </si>
  <si>
    <t>72434 · Asst. Min Prof Exp Allow</t>
  </si>
  <si>
    <t>72435 · Congr Chaplain Prof Expenses</t>
  </si>
  <si>
    <t>PROFF · Min. Staff Prof Expense Allow - Other</t>
  </si>
  <si>
    <t>Total PROFF · Min. Staff Prof Expense Allow</t>
  </si>
  <si>
    <t>SGD PRF · SGD Staff Prof Expense Allow</t>
  </si>
  <si>
    <t>72777 · Dir of SGD Prof Exp</t>
  </si>
  <si>
    <t>Total SGD PRF · SGD Staff Prof Expense Allow</t>
  </si>
  <si>
    <t>Total 72770 · Employee Business &amp; Prof Exp</t>
  </si>
  <si>
    <t>Total OTH PER · Other Employee Related Expenses</t>
  </si>
  <si>
    <t>Total 62c · Stewardship Expenses</t>
  </si>
  <si>
    <t>62a · Employee Compnsation &amp; Benefits</t>
  </si>
  <si>
    <t>Min · Ministers</t>
  </si>
  <si>
    <t>72200 · Senior Minister</t>
  </si>
  <si>
    <t>72201 · Minister Salary</t>
  </si>
  <si>
    <t>72225 · Minister Housing</t>
  </si>
  <si>
    <t>72426 · Minister In Lieu of Emplyr FICA</t>
  </si>
  <si>
    <t>72301 · Minister Retirement</t>
  </si>
  <si>
    <t>72410 · Minister Health Insurance</t>
  </si>
  <si>
    <t>72427 · Minister Dental Ins</t>
  </si>
  <si>
    <t>72421 · Minister Disability Insurance</t>
  </si>
  <si>
    <t>72422 · Minister Life Insurance</t>
  </si>
  <si>
    <t>Total 72200 · Senior Minister</t>
  </si>
  <si>
    <t>72210 · Assistant Minister (Ulrich)</t>
  </si>
  <si>
    <t>72211 · Asst Minister Salary</t>
  </si>
  <si>
    <t>72227 · Asst Minister Housing</t>
  </si>
  <si>
    <t>72302 · Asst Minister Retirement</t>
  </si>
  <si>
    <t>72339 · Asst Minister PR Taxes</t>
  </si>
  <si>
    <t>72411 · Asst Minister Health Ins</t>
  </si>
  <si>
    <t>72428 · Asst Minister Disability Ins</t>
  </si>
  <si>
    <t>72429 · Asst Minister Life Ins</t>
  </si>
  <si>
    <t>72430 · Asst Min In Lieu of FICA</t>
  </si>
  <si>
    <t>72431 · Asst Minister Dental Ins</t>
  </si>
  <si>
    <t>Total 72210 · Assistant Minister (Ulrich)</t>
  </si>
  <si>
    <t>73400 · Executive Minister- Cassi</t>
  </si>
  <si>
    <t>73401 · Executive Minister Salary</t>
  </si>
  <si>
    <t>73402 · Executive Minister Housing</t>
  </si>
  <si>
    <t>73408 · Exec Minister In Lieu of FICA</t>
  </si>
  <si>
    <t>73403 · Executive Minister Retiremen</t>
  </si>
  <si>
    <t>73404 · Exec Minister Health Insur</t>
  </si>
  <si>
    <t>73405 · Exec Minister Dental Ins</t>
  </si>
  <si>
    <t>Total 73400 · Executive Minister- Cassi</t>
  </si>
  <si>
    <t>55000 · Congregational Chaplain-Theresa</t>
  </si>
  <si>
    <t>5501 · Congr Chaplain Salary</t>
  </si>
  <si>
    <t>5502 · Congr Chaplain PR Taxes</t>
  </si>
  <si>
    <t>Total 55000 · Congregational Chaplain-Theresa</t>
  </si>
  <si>
    <t>Total Min · Ministers</t>
  </si>
  <si>
    <t>Music · Music Staff</t>
  </si>
  <si>
    <t>73100 · Audio/Visual Salary</t>
  </si>
  <si>
    <t>72230 · Dir Worship &amp; Music- GlenThomas</t>
  </si>
  <si>
    <t>72231 · Dir Worship &amp; Music Salary</t>
  </si>
  <si>
    <t>72501 · Dir Wor &amp; Music Payroll Taxes</t>
  </si>
  <si>
    <t>72303 · Dir Wor &amp; Music Retirement</t>
  </si>
  <si>
    <t>72412 · Dir Wor &amp; Music Health Insur</t>
  </si>
  <si>
    <t>722311 · Dir Wor &amp; Music Life Ins</t>
  </si>
  <si>
    <t>72436 · Dir Wor &amp; Music Disability</t>
  </si>
  <si>
    <t>Total 72230 · Dir Worship &amp; Music- GlenThomas</t>
  </si>
  <si>
    <t>72240 · Pianist in Residence Comp</t>
  </si>
  <si>
    <t>72241 · Pianist In Residence Salary</t>
  </si>
  <si>
    <t>72502 · Pianist in Residence PR Taxes</t>
  </si>
  <si>
    <t>Total 72240 · Pianist in Residence Comp</t>
  </si>
  <si>
    <t>72250 · Music Admin</t>
  </si>
  <si>
    <t>72251 · Music Admin Salary</t>
  </si>
  <si>
    <t>72503 · Music Admin PR Taxes</t>
  </si>
  <si>
    <t>Total 72250 · Music Admin</t>
  </si>
  <si>
    <t>72283 · Handbell Choir Dir Salary</t>
  </si>
  <si>
    <t>Total Music · Music Staff</t>
  </si>
  <si>
    <t>SGD STF · Spiritual Growth and Dev Staff</t>
  </si>
  <si>
    <t>72260 · Asst Minister SGD Comp</t>
  </si>
  <si>
    <t>72261 · Asst Min SGD Salary</t>
  </si>
  <si>
    <t>72682 · Asst Minister SGD In Lieu of F</t>
  </si>
  <si>
    <t>72304 · Asst Min SGD Retirement</t>
  </si>
  <si>
    <t>72413 · Asst Min SGD Health Ins</t>
  </si>
  <si>
    <t>72504 · Asst Min SGD Payroll Taxes</t>
  </si>
  <si>
    <t>Total 72260 · Asst Minister SGD Comp</t>
  </si>
  <si>
    <t>72270 · Summer Intern</t>
  </si>
  <si>
    <t>72280 · Lead Preschool Teacher Comp</t>
  </si>
  <si>
    <t>72281 · Lead Preschool Teacher Salary</t>
  </si>
  <si>
    <t>72506 · Lead Preschool Teacher PR Taxes</t>
  </si>
  <si>
    <t>72280 · Lead Preschool Teacher Comp - Other</t>
  </si>
  <si>
    <t>Total 72280 · Lead Preschool Teacher Comp</t>
  </si>
  <si>
    <t>72290 · Nursery Teacher Comp</t>
  </si>
  <si>
    <t>72291 · Nursery Teacher Salary</t>
  </si>
  <si>
    <t>72507 · Nursery Teacher PR Taxes</t>
  </si>
  <si>
    <t>72290 · Nursery Teacher Comp - Other</t>
  </si>
  <si>
    <t>Total 72290 · Nursery Teacher Comp</t>
  </si>
  <si>
    <t>72292 · 1e SGD Program Assistant Comp</t>
  </si>
  <si>
    <t>72293 · SGD Program Assistant Salary</t>
  </si>
  <si>
    <t>72508 · SGD Program Assistant PR Taxes</t>
  </si>
  <si>
    <t>Total 72292 · 1e SGD Program Assistant Comp</t>
  </si>
  <si>
    <t>849 · Director of SGD- Mark</t>
  </si>
  <si>
    <t>745 · Dir of SGD Salary</t>
  </si>
  <si>
    <t>743 · Dir of SGD Payroll Taxes</t>
  </si>
  <si>
    <t>744 · Dir of SGD Retirement</t>
  </si>
  <si>
    <t>740 · Dir of SGD Health Ins</t>
  </si>
  <si>
    <t>Total 849 · Director of SGD- Mark</t>
  </si>
  <si>
    <t>Total SGD STF · Spiritual Growth and Dev Staff</t>
  </si>
  <si>
    <t>OTH STF · Other Program Staff</t>
  </si>
  <si>
    <t>7522 · Communications Ministry Special</t>
  </si>
  <si>
    <t>72233 · Membership Coordinator</t>
  </si>
  <si>
    <t>72234 · Membership Coord Salary</t>
  </si>
  <si>
    <t>72509 · Membership Coord Payroll Taxes</t>
  </si>
  <si>
    <t>72306 · Membership Coord Retirement</t>
  </si>
  <si>
    <t>72606 · Membership Coor Health Ins</t>
  </si>
  <si>
    <t>Total 72233 · Membership Coordinator</t>
  </si>
  <si>
    <t>72243 · Programs Coordinator- Mark</t>
  </si>
  <si>
    <t>72244 · Programs Coordinator Salary</t>
  </si>
  <si>
    <t>72510 · Programs Coordinator PR Taxes</t>
  </si>
  <si>
    <t>72307 · Programs Coordinator Retirement</t>
  </si>
  <si>
    <t>72415 · Programs Coordinator Health Ins</t>
  </si>
  <si>
    <t>Total 72243 · Programs Coordinator- Mark</t>
  </si>
  <si>
    <t>72253 · Coordin of Congr Life- Quiana</t>
  </si>
  <si>
    <t>72254 · Coordinator of Cong Life Salary</t>
  </si>
  <si>
    <t>72511 · Coord of Cong Life PR Taxes</t>
  </si>
  <si>
    <t>72609 · Coord of Congr Life Retirement</t>
  </si>
  <si>
    <t>72255 · Coord of Congr Life Health</t>
  </si>
  <si>
    <t>72256 · Coord of Congr Life Dental</t>
  </si>
  <si>
    <t>72257 · Coord of Congr Life LTD &amp; Life</t>
  </si>
  <si>
    <t>Total 72253 · Coordin of Congr Life- Quiana</t>
  </si>
  <si>
    <t>Total OTH STF · Other Program Staff</t>
  </si>
  <si>
    <t>1C · Building Attendant Comp</t>
  </si>
  <si>
    <t>724 · Bldg Attend Salary</t>
  </si>
  <si>
    <t>72515 · Bldg Attend PR Taxes</t>
  </si>
  <si>
    <t>Total 1C · Building Attendant Comp</t>
  </si>
  <si>
    <t>72263 · Building Manager</t>
  </si>
  <si>
    <t>72264 · Building Manager Salary</t>
  </si>
  <si>
    <t>72512 · Building Manager PR Taxes</t>
  </si>
  <si>
    <t>72608 · Building Mgr Retirement</t>
  </si>
  <si>
    <t>72308 · Building Manager Retirement</t>
  </si>
  <si>
    <t>72416 · Building Manager Health Ins</t>
  </si>
  <si>
    <t>72446 · Building Manager Dental Ins</t>
  </si>
  <si>
    <t>72540 · Bldg Manager LTD &amp; Life Ins</t>
  </si>
  <si>
    <t>Total 72263 · Building Manager</t>
  </si>
  <si>
    <t>72273 · Office Administrator Comp</t>
  </si>
  <si>
    <t>72274 · Office Administrator  Salary</t>
  </si>
  <si>
    <t>72309 · Office Admin Retirement</t>
  </si>
  <si>
    <t>72417 · Office Admin Health Ins</t>
  </si>
  <si>
    <t>72447 · Office Admin Dental Ins</t>
  </si>
  <si>
    <t>72513 · Office Admin Payroll Taxes</t>
  </si>
  <si>
    <t>Total 72273 · Office Administrator Comp</t>
  </si>
  <si>
    <t>Total B&amp;O · Building &amp; Office Team</t>
  </si>
  <si>
    <t>Total 62a · Employee Compnsation &amp; Benefits</t>
  </si>
  <si>
    <t>Dec 20 Actual</t>
  </si>
  <si>
    <t>Dec 20 Budget</t>
  </si>
  <si>
    <t>Accrued Maint Contract Fees</t>
  </si>
  <si>
    <t xml:space="preserve">6900 · PPP Loan Proceeds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</si>
</sst>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\-#,##0.00"/>
  </numFmts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39" fontId="0" fillId="0" borderId="0" xfId="0" applyNumberFormat="1"/>
    <xf numFmtId="0" fontId="1" fillId="0" borderId="0" xfId="0" applyNumberFormat="1" applyFont="1" applyFill="1" applyBorder="1"/>
    <xf numFmtId="0" fontId="4" fillId="0" borderId="0" xfId="0" applyFont="1" applyFill="1"/>
    <xf numFmtId="0" fontId="7" fillId="0" borderId="0" xfId="0" applyFont="1" applyFill="1"/>
    <xf numFmtId="0" fontId="1" fillId="0" borderId="0" xfId="0" applyNumberFormat="1" applyFont="1" applyFill="1"/>
    <xf numFmtId="0" fontId="0" fillId="0" borderId="0" xfId="0" applyFill="1"/>
    <xf numFmtId="39" fontId="0" fillId="0" borderId="0" xfId="0" applyNumberFormat="1" applyFill="1" applyBorder="1"/>
    <xf numFmtId="39" fontId="0" fillId="0" borderId="4" xfId="0" applyNumberFormat="1" applyFill="1" applyBorder="1"/>
    <xf numFmtId="0" fontId="5" fillId="0" borderId="0" xfId="0" applyFont="1" applyFill="1" applyAlignment="1">
      <alignment horizontal="left"/>
    </xf>
    <xf numFmtId="39" fontId="10" fillId="0" borderId="0" xfId="0" applyNumberFormat="1" applyFont="1" applyFill="1" applyBorder="1" applyAlignment="1"/>
    <xf numFmtId="39" fontId="0" fillId="0" borderId="0" xfId="0" applyNumberForma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0" fillId="0" borderId="0" xfId="0" quotePrefix="1" applyNumberFormat="1" applyFont="1" applyFill="1" applyBorder="1" applyAlignment="1">
      <alignment horizontal="center"/>
    </xf>
    <xf numFmtId="49" fontId="10" fillId="0" borderId="0" xfId="0" applyNumberFormat="1" applyFont="1" applyFill="1"/>
    <xf numFmtId="39" fontId="10" fillId="0" borderId="2" xfId="0" applyNumberFormat="1" applyFont="1" applyFill="1" applyBorder="1" applyAlignment="1">
      <alignment horizontal="center"/>
    </xf>
    <xf numFmtId="39" fontId="11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4" fontId="13" fillId="0" borderId="0" xfId="0" applyNumberFormat="1" applyFont="1" applyFill="1"/>
    <xf numFmtId="39" fontId="14" fillId="0" borderId="0" xfId="0" applyNumberFormat="1" applyFont="1" applyFill="1" applyAlignment="1"/>
    <xf numFmtId="39" fontId="13" fillId="0" borderId="0" xfId="0" applyNumberFormat="1" applyFont="1" applyFill="1" applyAlignment="1"/>
    <xf numFmtId="39" fontId="13" fillId="0" borderId="4" xfId="0" applyNumberFormat="1" applyFont="1" applyFill="1" applyBorder="1" applyAlignment="1"/>
    <xf numFmtId="39" fontId="10" fillId="0" borderId="0" xfId="0" applyNumberFormat="1" applyFont="1" applyFill="1" applyAlignment="1"/>
    <xf numFmtId="0" fontId="11" fillId="0" borderId="0" xfId="0" applyFont="1" applyFill="1"/>
    <xf numFmtId="4" fontId="11" fillId="0" borderId="0" xfId="0" applyNumberFormat="1" applyFont="1" applyFill="1"/>
    <xf numFmtId="0" fontId="15" fillId="0" borderId="0" xfId="0" applyFont="1" applyFill="1"/>
    <xf numFmtId="39" fontId="14" fillId="0" borderId="2" xfId="0" applyNumberFormat="1" applyFont="1" applyFill="1" applyBorder="1" applyAlignment="1"/>
    <xf numFmtId="39" fontId="14" fillId="0" borderId="3" xfId="0" applyNumberFormat="1" applyFont="1" applyFill="1" applyBorder="1" applyAlignment="1"/>
    <xf numFmtId="39" fontId="14" fillId="0" borderId="4" xfId="0" applyNumberFormat="1" applyFont="1" applyFill="1" applyBorder="1" applyAlignment="1"/>
    <xf numFmtId="39" fontId="10" fillId="0" borderId="2" xfId="0" applyNumberFormat="1" applyFont="1" applyFill="1" applyBorder="1" applyAlignment="1"/>
    <xf numFmtId="0" fontId="10" fillId="0" borderId="0" xfId="0" applyNumberFormat="1" applyFont="1" applyFill="1"/>
    <xf numFmtId="39" fontId="10" fillId="0" borderId="7" xfId="0" applyNumberFormat="1" applyFont="1" applyFill="1" applyBorder="1" applyAlignment="1"/>
    <xf numFmtId="0" fontId="10" fillId="0" borderId="0" xfId="0" applyFont="1" applyFill="1"/>
    <xf numFmtId="39" fontId="10" fillId="0" borderId="0" xfId="0" quotePrefix="1" applyNumberFormat="1" applyFont="1" applyFill="1" applyBorder="1" applyAlignment="1"/>
    <xf numFmtId="4" fontId="10" fillId="0" borderId="0" xfId="0" applyNumberFormat="1" applyFont="1" applyFill="1"/>
    <xf numFmtId="49" fontId="11" fillId="0" borderId="0" xfId="0" applyNumberFormat="1" applyFont="1" applyFill="1"/>
    <xf numFmtId="39" fontId="13" fillId="0" borderId="0" xfId="0" applyNumberFormat="1" applyFont="1" applyFill="1" applyBorder="1" applyAlignment="1"/>
    <xf numFmtId="39" fontId="13" fillId="0" borderId="0" xfId="0" applyNumberFormat="1" applyFont="1" applyFill="1"/>
    <xf numFmtId="39" fontId="10" fillId="0" borderId="0" xfId="0" applyNumberFormat="1" applyFont="1" applyFill="1"/>
    <xf numFmtId="49" fontId="10" fillId="0" borderId="0" xfId="0" applyNumberFormat="1" applyFont="1" applyFill="1" applyBorder="1"/>
    <xf numFmtId="39" fontId="14" fillId="0" borderId="0" xfId="0" applyNumberFormat="1" applyFont="1" applyFill="1" applyBorder="1" applyAlignment="1"/>
    <xf numFmtId="39" fontId="10" fillId="0" borderId="10" xfId="0" applyNumberFormat="1" applyFont="1" applyFill="1" applyBorder="1" applyAlignment="1"/>
    <xf numFmtId="39" fontId="0" fillId="0" borderId="0" xfId="0" applyNumberFormat="1" applyFill="1"/>
    <xf numFmtId="39" fontId="10" fillId="0" borderId="2" xfId="0" applyNumberFormat="1" applyFont="1" applyFill="1" applyBorder="1"/>
    <xf numFmtId="39" fontId="10" fillId="0" borderId="4" xfId="0" applyNumberFormat="1" applyFont="1" applyFill="1" applyBorder="1" applyAlignment="1"/>
    <xf numFmtId="39" fontId="9" fillId="0" borderId="0" xfId="0" applyNumberFormat="1" applyFont="1" applyFill="1"/>
    <xf numFmtId="15" fontId="0" fillId="0" borderId="0" xfId="0" applyNumberFormat="1" applyFill="1"/>
    <xf numFmtId="39" fontId="1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12" fillId="0" borderId="0" xfId="0" applyNumberFormat="1" applyFont="1" applyFill="1"/>
    <xf numFmtId="39" fontId="0" fillId="0" borderId="2" xfId="0" applyNumberFormat="1" applyFill="1" applyBorder="1"/>
    <xf numFmtId="0" fontId="5" fillId="0" borderId="0" xfId="0" applyFont="1" applyFill="1" applyAlignment="1">
      <alignment horizontal="right"/>
    </xf>
    <xf numFmtId="39" fontId="0" fillId="0" borderId="8" xfId="0" applyNumberFormat="1" applyFill="1" applyBorder="1"/>
    <xf numFmtId="164" fontId="12" fillId="0" borderId="4" xfId="0" applyNumberFormat="1" applyFont="1" applyFill="1" applyBorder="1"/>
    <xf numFmtId="39" fontId="0" fillId="0" borderId="9" xfId="0" applyNumberFormat="1" applyFill="1" applyBorder="1"/>
    <xf numFmtId="39" fontId="9" fillId="0" borderId="0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9" fillId="0" borderId="0" xfId="0" applyFont="1" applyFill="1"/>
    <xf numFmtId="164" fontId="16" fillId="0" borderId="0" xfId="0" applyNumberFormat="1" applyFont="1" applyFill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right"/>
    </xf>
    <xf numFmtId="39" fontId="1" fillId="0" borderId="0" xfId="0" applyNumberFormat="1" applyFont="1" applyFill="1"/>
    <xf numFmtId="39" fontId="11" fillId="0" borderId="2" xfId="0" quotePrefix="1" applyNumberFormat="1" applyFont="1" applyFill="1" applyBorder="1" applyAlignment="1">
      <alignment horizontal="center"/>
    </xf>
    <xf numFmtId="39" fontId="14" fillId="0" borderId="9" xfId="0" applyNumberFormat="1" applyFont="1" applyFill="1" applyBorder="1" applyAlignment="1"/>
    <xf numFmtId="39" fontId="12" fillId="0" borderId="0" xfId="0" applyNumberFormat="1" applyFont="1" applyFill="1"/>
    <xf numFmtId="39" fontId="4" fillId="0" borderId="0" xfId="0" applyNumberFormat="1" applyFont="1" applyFill="1"/>
    <xf numFmtId="39" fontId="7" fillId="0" borderId="0" xfId="0" applyNumberFormat="1" applyFont="1" applyFill="1"/>
    <xf numFmtId="39" fontId="13" fillId="0" borderId="9" xfId="0" applyNumberFormat="1" applyFont="1" applyFill="1" applyBorder="1" applyAlignment="1"/>
    <xf numFmtId="39" fontId="10" fillId="0" borderId="6" xfId="0" applyNumberFormat="1" applyFont="1" applyFill="1" applyBorder="1" applyAlignment="1"/>
    <xf numFmtId="39" fontId="13" fillId="0" borderId="3" xfId="0" applyNumberFormat="1" applyFont="1" applyFill="1" applyBorder="1" applyAlignment="1"/>
    <xf numFmtId="39" fontId="16" fillId="0" borderId="0" xfId="0" applyNumberFormat="1" applyFont="1" applyFill="1"/>
    <xf numFmtId="0" fontId="5" fillId="0" borderId="0" xfId="0" applyNumberFormat="1" applyFont="1"/>
    <xf numFmtId="0" fontId="5" fillId="0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Fill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4" xfId="0" applyNumberFormat="1" applyFont="1" applyBorder="1"/>
    <xf numFmtId="164" fontId="1" fillId="0" borderId="4" xfId="0" applyNumberFormat="1" applyFont="1" applyFill="1" applyBorder="1"/>
    <xf numFmtId="164" fontId="1" fillId="0" borderId="0" xfId="0" applyNumberFormat="1" applyFont="1" applyFill="1" applyBorder="1"/>
    <xf numFmtId="164" fontId="1" fillId="0" borderId="5" xfId="0" applyNumberFormat="1" applyFont="1" applyFill="1" applyBorder="1"/>
    <xf numFmtId="39" fontId="1" fillId="0" borderId="0" xfId="0" applyNumberFormat="1" applyFont="1" applyFill="1" applyBorder="1"/>
    <xf numFmtId="39" fontId="1" fillId="0" borderId="6" xfId="0" applyNumberFormat="1" applyFont="1" applyFill="1" applyBorder="1"/>
    <xf numFmtId="39" fontId="5" fillId="0" borderId="0" xfId="0" applyNumberFormat="1" applyFont="1" applyFill="1"/>
    <xf numFmtId="0" fontId="5" fillId="0" borderId="0" xfId="0" applyFont="1" applyFill="1"/>
    <xf numFmtId="39" fontId="1" fillId="0" borderId="4" xfId="0" applyNumberFormat="1" applyFont="1" applyFill="1" applyBorder="1"/>
    <xf numFmtId="40" fontId="5" fillId="0" borderId="0" xfId="0" applyNumberFormat="1" applyFont="1" applyFill="1"/>
    <xf numFmtId="39" fontId="0" fillId="0" borderId="4" xfId="1" applyNumberFormat="1" applyFont="1" applyFill="1" applyBorder="1"/>
    <xf numFmtId="40" fontId="8" fillId="0" borderId="4" xfId="0" applyNumberFormat="1" applyFont="1" applyFill="1" applyBorder="1"/>
    <xf numFmtId="39" fontId="14" fillId="0" borderId="5" xfId="0" applyNumberFormat="1" applyFont="1" applyFill="1" applyBorder="1" applyAlignment="1"/>
    <xf numFmtId="39" fontId="13" fillId="0" borderId="5" xfId="0" applyNumberFormat="1" applyFont="1" applyFill="1" applyBorder="1" applyAlignment="1"/>
    <xf numFmtId="39" fontId="11" fillId="0" borderId="0" xfId="0" applyNumberFormat="1" applyFont="1" applyFill="1" applyBorder="1" applyAlignment="1"/>
    <xf numFmtId="40" fontId="8" fillId="0" borderId="7" xfId="0" applyNumberFormat="1" applyFont="1" applyFill="1" applyBorder="1"/>
    <xf numFmtId="39" fontId="5" fillId="0" borderId="7" xfId="0" applyNumberFormat="1" applyFont="1" applyFill="1" applyBorder="1"/>
    <xf numFmtId="0" fontId="0" fillId="0" borderId="0" xfId="0" quotePrefix="1" applyFill="1"/>
    <xf numFmtId="4" fontId="0" fillId="0" borderId="0" xfId="0" applyNumberFormat="1" applyFill="1"/>
    <xf numFmtId="4" fontId="0" fillId="0" borderId="0" xfId="0" applyNumberFormat="1"/>
    <xf numFmtId="49" fontId="0" fillId="0" borderId="1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12" xfId="0" applyNumberFormat="1" applyFont="1" applyBorder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2" fillId="0" borderId="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4"/>
  <sheetViews>
    <sheetView tabSelected="1" topLeftCell="B1" workbookViewId="0">
      <selection activeCell="J24" sqref="J24"/>
    </sheetView>
  </sheetViews>
  <sheetFormatPr defaultRowHeight="15" x14ac:dyDescent="0.25"/>
  <cols>
    <col min="1" max="1" width="26.85546875" style="6" hidden="1" customWidth="1"/>
    <col min="2" max="2" width="3" style="6" customWidth="1"/>
    <col min="3" max="3" width="50.85546875" style="6" customWidth="1"/>
    <col min="4" max="4" width="12.85546875" style="79" customWidth="1"/>
    <col min="5" max="5" width="15.140625" style="80" hidden="1" customWidth="1"/>
    <col min="6" max="6" width="14.85546875" style="80" customWidth="1"/>
    <col min="7" max="7" width="12.85546875" style="81" customWidth="1"/>
  </cols>
  <sheetData>
    <row r="3" spans="1:7" ht="15.75" thickBot="1" x14ac:dyDescent="0.3"/>
    <row r="4" spans="1:7" s="5" customFormat="1" ht="16.5" thickTop="1" thickBot="1" x14ac:dyDescent="0.3">
      <c r="A4" s="3"/>
      <c r="B4" s="3"/>
      <c r="C4" s="3"/>
      <c r="D4" s="4" t="s">
        <v>165</v>
      </c>
      <c r="E4" s="64" t="s">
        <v>145</v>
      </c>
      <c r="F4" s="64" t="s">
        <v>166</v>
      </c>
      <c r="G4" s="82"/>
    </row>
    <row r="5" spans="1:7" ht="15.75" thickTop="1" x14ac:dyDescent="0.25">
      <c r="A5" s="1"/>
      <c r="B5" s="1" t="s">
        <v>0</v>
      </c>
      <c r="C5" s="1"/>
      <c r="D5" s="83"/>
      <c r="E5" s="84"/>
      <c r="F5" s="84"/>
    </row>
    <row r="6" spans="1:7" x14ac:dyDescent="0.25">
      <c r="A6" s="1"/>
      <c r="B6" s="1"/>
      <c r="C6" s="1" t="s">
        <v>1</v>
      </c>
      <c r="D6" s="83">
        <v>1083438.49</v>
      </c>
      <c r="E6" s="84">
        <v>976000</v>
      </c>
      <c r="F6" s="84">
        <v>1076000</v>
      </c>
    </row>
    <row r="7" spans="1:7" x14ac:dyDescent="0.25">
      <c r="A7" s="1"/>
      <c r="B7" s="1"/>
      <c r="C7" s="1" t="s">
        <v>2</v>
      </c>
      <c r="D7" s="83">
        <v>40930.269999999997</v>
      </c>
      <c r="E7" s="84">
        <v>45920</v>
      </c>
      <c r="F7" s="84">
        <v>52590</v>
      </c>
    </row>
    <row r="8" spans="1:7" x14ac:dyDescent="0.25">
      <c r="A8" s="1"/>
      <c r="B8" s="1"/>
      <c r="C8" s="1" t="s">
        <v>3</v>
      </c>
      <c r="D8" s="83">
        <v>15702.5</v>
      </c>
      <c r="E8" s="84">
        <v>36173</v>
      </c>
      <c r="F8" s="84">
        <v>39933</v>
      </c>
    </row>
    <row r="9" spans="1:7" x14ac:dyDescent="0.25">
      <c r="A9" s="1"/>
      <c r="B9" s="1"/>
      <c r="C9" s="1" t="s">
        <v>4</v>
      </c>
      <c r="D9" s="83">
        <v>49799.81</v>
      </c>
      <c r="E9" s="84">
        <v>10850</v>
      </c>
      <c r="F9" s="84">
        <v>12000</v>
      </c>
    </row>
    <row r="10" spans="1:7" ht="15.75" thickBot="1" x14ac:dyDescent="0.3">
      <c r="A10" s="1"/>
      <c r="B10" s="1"/>
      <c r="C10" s="1" t="s">
        <v>5</v>
      </c>
      <c r="D10" s="85">
        <v>6813.95</v>
      </c>
      <c r="E10" s="86">
        <v>35876</v>
      </c>
      <c r="F10" s="86">
        <v>38876</v>
      </c>
    </row>
    <row r="11" spans="1:7" x14ac:dyDescent="0.25">
      <c r="A11" s="1"/>
      <c r="B11" s="1" t="s">
        <v>6</v>
      </c>
      <c r="C11" s="1"/>
      <c r="D11" s="83">
        <f>ROUND(SUM(D5:D10),5)</f>
        <v>1196685.02</v>
      </c>
      <c r="E11" s="84">
        <f>ROUND(SUM(E5:E10),5)</f>
        <v>1104819</v>
      </c>
      <c r="F11" s="84">
        <f>ROUND(SUM(F5:F10),5)</f>
        <v>1219399</v>
      </c>
    </row>
    <row r="12" spans="1:7" x14ac:dyDescent="0.25">
      <c r="A12" s="1"/>
      <c r="B12" s="1" t="s">
        <v>7</v>
      </c>
      <c r="C12" s="1"/>
      <c r="D12" s="83"/>
      <c r="E12" s="84"/>
      <c r="F12" s="84"/>
    </row>
    <row r="13" spans="1:7" x14ac:dyDescent="0.25">
      <c r="A13" s="1"/>
      <c r="B13" s="1" t="s">
        <v>19</v>
      </c>
      <c r="C13" s="1"/>
      <c r="D13" s="83"/>
      <c r="E13" s="84"/>
      <c r="F13" s="84"/>
    </row>
    <row r="14" spans="1:7" x14ac:dyDescent="0.25">
      <c r="A14" s="7"/>
      <c r="B14" s="1"/>
      <c r="C14" s="1" t="s">
        <v>8</v>
      </c>
      <c r="D14" s="83">
        <v>17009.55</v>
      </c>
      <c r="E14" s="84">
        <v>15014</v>
      </c>
      <c r="F14" s="84">
        <v>18594</v>
      </c>
    </row>
    <row r="15" spans="1:7" x14ac:dyDescent="0.25">
      <c r="A15" s="1"/>
      <c r="B15" s="1"/>
      <c r="C15" s="1" t="s">
        <v>20</v>
      </c>
      <c r="D15" s="83">
        <v>2529.92</v>
      </c>
      <c r="E15" s="84">
        <v>8870</v>
      </c>
      <c r="F15" s="84">
        <v>9750</v>
      </c>
    </row>
    <row r="16" spans="1:7" x14ac:dyDescent="0.25">
      <c r="A16" s="1"/>
      <c r="B16" s="1"/>
      <c r="C16" s="1" t="s">
        <v>9</v>
      </c>
      <c r="D16" s="83">
        <v>4585.9799999999996</v>
      </c>
      <c r="E16" s="84">
        <v>3800</v>
      </c>
      <c r="F16" s="84">
        <v>4800</v>
      </c>
    </row>
    <row r="17" spans="1:10" x14ac:dyDescent="0.25">
      <c r="A17" s="1"/>
      <c r="B17" s="1"/>
      <c r="C17" s="1" t="s">
        <v>10</v>
      </c>
      <c r="D17" s="83">
        <v>6314.99</v>
      </c>
      <c r="E17" s="84">
        <v>12910</v>
      </c>
      <c r="F17" s="84">
        <v>15000</v>
      </c>
    </row>
    <row r="18" spans="1:10" x14ac:dyDescent="0.25">
      <c r="A18" s="1"/>
      <c r="B18" s="1"/>
      <c r="C18" s="1" t="s">
        <v>11</v>
      </c>
      <c r="D18" s="87">
        <v>15700</v>
      </c>
      <c r="E18" s="88">
        <v>17000</v>
      </c>
      <c r="F18" s="88">
        <v>17250</v>
      </c>
    </row>
    <row r="19" spans="1:10" x14ac:dyDescent="0.25">
      <c r="A19" s="1"/>
      <c r="B19" s="1"/>
      <c r="C19" s="8" t="s">
        <v>21</v>
      </c>
      <c r="D19" s="83">
        <f>SUM(D14:D18)</f>
        <v>46140.44</v>
      </c>
      <c r="E19" s="84">
        <f>SUM(E14:E18)</f>
        <v>57594</v>
      </c>
      <c r="F19" s="84">
        <f>SUM(F14:F18)</f>
        <v>65394</v>
      </c>
    </row>
    <row r="20" spans="1:10" x14ac:dyDescent="0.25">
      <c r="A20" s="1"/>
      <c r="B20" s="1" t="s">
        <v>22</v>
      </c>
      <c r="C20" s="67"/>
      <c r="D20" s="84"/>
      <c r="E20" s="84"/>
      <c r="F20" s="84"/>
    </row>
    <row r="21" spans="1:10" x14ac:dyDescent="0.25">
      <c r="A21" s="7"/>
      <c r="B21" s="1"/>
      <c r="C21" s="67" t="s">
        <v>12</v>
      </c>
      <c r="D21" s="84">
        <v>79216.33</v>
      </c>
      <c r="E21" s="84">
        <v>80992</v>
      </c>
      <c r="F21" s="84">
        <v>90448</v>
      </c>
    </row>
    <row r="22" spans="1:10" x14ac:dyDescent="0.25">
      <c r="A22" s="1"/>
      <c r="B22" s="1"/>
      <c r="C22" s="67" t="s">
        <v>117</v>
      </c>
      <c r="D22" s="84">
        <v>24584.76</v>
      </c>
      <c r="E22" s="84">
        <v>25890</v>
      </c>
      <c r="F22" s="84">
        <v>32690</v>
      </c>
    </row>
    <row r="23" spans="1:10" x14ac:dyDescent="0.25">
      <c r="A23" s="1"/>
      <c r="B23" s="1"/>
      <c r="C23" s="67" t="s">
        <v>13</v>
      </c>
      <c r="D23" s="84">
        <v>55125.02</v>
      </c>
      <c r="E23" s="84">
        <v>37718</v>
      </c>
      <c r="F23" s="84">
        <v>48828</v>
      </c>
    </row>
    <row r="24" spans="1:10" x14ac:dyDescent="0.25">
      <c r="A24" s="1"/>
      <c r="B24" s="1"/>
      <c r="C24" s="67" t="s">
        <v>14</v>
      </c>
      <c r="D24" s="84">
        <v>113322.56</v>
      </c>
      <c r="E24" s="84">
        <v>103420</v>
      </c>
      <c r="F24" s="84">
        <v>112822</v>
      </c>
    </row>
    <row r="25" spans="1:10" x14ac:dyDescent="0.25">
      <c r="A25" s="1"/>
      <c r="B25" s="1"/>
      <c r="C25" s="67" t="s">
        <v>15</v>
      </c>
      <c r="D25" s="84">
        <v>24216.41</v>
      </c>
      <c r="E25" s="84">
        <v>20535</v>
      </c>
      <c r="F25" s="84">
        <v>22360</v>
      </c>
    </row>
    <row r="26" spans="1:10" x14ac:dyDescent="0.25">
      <c r="A26" s="1"/>
      <c r="B26" s="1"/>
      <c r="C26" s="67" t="s">
        <v>16</v>
      </c>
      <c r="D26" s="84">
        <v>1012.69</v>
      </c>
      <c r="E26" s="84">
        <v>8100</v>
      </c>
      <c r="F26" s="84">
        <v>8250</v>
      </c>
    </row>
    <row r="27" spans="1:10" x14ac:dyDescent="0.25">
      <c r="A27" s="7"/>
      <c r="B27" s="1"/>
      <c r="C27" s="67" t="s">
        <v>23</v>
      </c>
      <c r="D27" s="88">
        <v>28126.66</v>
      </c>
      <c r="E27" s="88">
        <v>42096.5</v>
      </c>
      <c r="F27" s="88">
        <v>51946.3</v>
      </c>
    </row>
    <row r="28" spans="1:10" hidden="1" x14ac:dyDescent="0.25">
      <c r="A28" s="7"/>
      <c r="B28" s="1"/>
      <c r="C28" s="67" t="s">
        <v>118</v>
      </c>
      <c r="D28" s="89"/>
      <c r="E28" s="88">
        <v>0</v>
      </c>
      <c r="F28" s="88">
        <v>0</v>
      </c>
    </row>
    <row r="29" spans="1:10" x14ac:dyDescent="0.25">
      <c r="A29" s="7"/>
      <c r="B29" s="1"/>
      <c r="C29" s="68" t="s">
        <v>21</v>
      </c>
      <c r="D29" s="84">
        <f>SUM(D21:D27)</f>
        <v>325604.42999999993</v>
      </c>
      <c r="E29" s="84">
        <f>SUM(E21:E28)</f>
        <v>318751.5</v>
      </c>
      <c r="F29" s="84">
        <f>SUM(F21:F28)</f>
        <v>367344.3</v>
      </c>
      <c r="G29" s="83"/>
      <c r="H29" s="2"/>
      <c r="I29" s="2"/>
      <c r="J29" s="2"/>
    </row>
    <row r="30" spans="1:10" x14ac:dyDescent="0.25">
      <c r="A30" s="7"/>
      <c r="D30" s="84"/>
      <c r="E30" s="84"/>
      <c r="F30" s="84"/>
    </row>
    <row r="31" spans="1:10" hidden="1" x14ac:dyDescent="0.25">
      <c r="A31" s="1"/>
      <c r="B31" s="1"/>
      <c r="C31" s="67" t="s">
        <v>25</v>
      </c>
      <c r="D31" s="84">
        <v>305880.7</v>
      </c>
      <c r="E31" s="84">
        <v>224910.17</v>
      </c>
      <c r="F31" s="84">
        <v>241538.35</v>
      </c>
    </row>
    <row r="32" spans="1:10" hidden="1" x14ac:dyDescent="0.25">
      <c r="A32" s="1"/>
      <c r="B32" s="1"/>
      <c r="C32" s="67" t="s">
        <v>26</v>
      </c>
      <c r="D32" s="84">
        <v>148265.49</v>
      </c>
      <c r="E32" s="84">
        <v>102329.3</v>
      </c>
      <c r="F32" s="84">
        <v>111786.98</v>
      </c>
    </row>
    <row r="33" spans="1:7" hidden="1" x14ac:dyDescent="0.25">
      <c r="A33" s="1"/>
      <c r="B33" s="1"/>
      <c r="C33" s="67" t="s">
        <v>27</v>
      </c>
      <c r="D33" s="84">
        <v>82627.09</v>
      </c>
      <c r="E33" s="84">
        <v>92256.57</v>
      </c>
      <c r="F33" s="84">
        <v>101379.31</v>
      </c>
    </row>
    <row r="34" spans="1:7" hidden="1" x14ac:dyDescent="0.25">
      <c r="A34" s="1"/>
      <c r="B34" s="1"/>
      <c r="C34" s="67" t="s">
        <v>28</v>
      </c>
      <c r="D34" s="84">
        <v>185614.37</v>
      </c>
      <c r="E34" s="84">
        <v>194649.36</v>
      </c>
      <c r="F34" s="84">
        <v>212392.64</v>
      </c>
    </row>
    <row r="35" spans="1:7" hidden="1" x14ac:dyDescent="0.25">
      <c r="A35" s="1"/>
      <c r="B35" s="1"/>
      <c r="C35" s="67" t="s">
        <v>17</v>
      </c>
      <c r="D35" s="89">
        <v>101621.27</v>
      </c>
      <c r="E35" s="89">
        <v>109350.41</v>
      </c>
      <c r="F35" s="89">
        <v>119563.42</v>
      </c>
    </row>
    <row r="36" spans="1:7" x14ac:dyDescent="0.25">
      <c r="A36" s="1"/>
      <c r="B36" s="67" t="s">
        <v>24</v>
      </c>
      <c r="C36" s="68"/>
      <c r="D36" s="89">
        <f>SUM(D31:D35)</f>
        <v>824008.92</v>
      </c>
      <c r="E36" s="89">
        <f>SUM(E31:E35)</f>
        <v>723495.81</v>
      </c>
      <c r="F36" s="89">
        <f>SUM(F31:F35)</f>
        <v>786660.70000000007</v>
      </c>
    </row>
    <row r="37" spans="1:7" x14ac:dyDescent="0.25">
      <c r="A37" s="1"/>
      <c r="B37" s="1"/>
      <c r="C37" s="68"/>
      <c r="D37" s="88"/>
      <c r="E37" s="88"/>
      <c r="F37" s="88"/>
    </row>
    <row r="38" spans="1:7" x14ac:dyDescent="0.25">
      <c r="A38" s="1"/>
      <c r="B38" s="1" t="s">
        <v>18</v>
      </c>
      <c r="C38" s="67"/>
      <c r="D38" s="90">
        <f>+D36+D29+D19</f>
        <v>1195753.79</v>
      </c>
      <c r="E38" s="88">
        <f>+E36+E29+E19</f>
        <v>1099841.31</v>
      </c>
      <c r="F38" s="88">
        <f>+F36+F29+F19</f>
        <v>1219399</v>
      </c>
    </row>
    <row r="39" spans="1:7" s="50" customFormat="1" ht="15.75" thickBot="1" x14ac:dyDescent="0.3">
      <c r="A39" s="73"/>
      <c r="B39" s="74" t="s">
        <v>29</v>
      </c>
      <c r="C39" s="69"/>
      <c r="D39" s="92">
        <f>+D11-D38</f>
        <v>931.22999999998137</v>
      </c>
      <c r="E39" s="92">
        <f>+E11-E38</f>
        <v>4977.6899999999441</v>
      </c>
      <c r="F39" s="92">
        <f>+F11-F38</f>
        <v>0</v>
      </c>
      <c r="G39" s="93"/>
    </row>
    <row r="40" spans="1:7" s="50" customFormat="1" ht="15.75" thickTop="1" x14ac:dyDescent="0.25">
      <c r="A40" s="73"/>
      <c r="B40" s="74"/>
      <c r="C40" s="69"/>
      <c r="D40" s="91"/>
      <c r="E40" s="91"/>
      <c r="F40" s="91"/>
      <c r="G40" s="93"/>
    </row>
    <row r="41" spans="1:7" s="50" customFormat="1" x14ac:dyDescent="0.25">
      <c r="A41" s="73"/>
      <c r="B41" s="74"/>
      <c r="C41" s="69"/>
      <c r="D41" s="91"/>
      <c r="E41" s="91"/>
      <c r="F41" s="91"/>
      <c r="G41" s="93"/>
    </row>
    <row r="42" spans="1:7" s="50" customFormat="1" x14ac:dyDescent="0.25">
      <c r="A42" s="73"/>
      <c r="B42" s="74"/>
      <c r="C42" s="69"/>
      <c r="D42" s="91"/>
      <c r="E42" s="91"/>
      <c r="F42" s="91"/>
      <c r="G42" s="93"/>
    </row>
    <row r="43" spans="1:7" s="50" customFormat="1" x14ac:dyDescent="0.25">
      <c r="A43" s="73"/>
      <c r="B43" s="74" t="s">
        <v>146</v>
      </c>
      <c r="C43" s="69"/>
      <c r="D43" s="91"/>
      <c r="E43" s="91"/>
      <c r="F43" s="91"/>
      <c r="G43" s="93"/>
    </row>
    <row r="44" spans="1:7" s="14" customFormat="1" x14ac:dyDescent="0.25">
      <c r="A44" s="11"/>
      <c r="B44" s="10"/>
      <c r="C44" s="12" t="s">
        <v>30</v>
      </c>
      <c r="D44" s="89">
        <v>150336.14000000001</v>
      </c>
      <c r="E44" s="94"/>
      <c r="F44" s="89"/>
      <c r="G44" s="94"/>
    </row>
    <row r="45" spans="1:7" s="14" customFormat="1" x14ac:dyDescent="0.25">
      <c r="A45" s="11"/>
      <c r="B45" s="10"/>
      <c r="C45" s="12" t="s">
        <v>31</v>
      </c>
      <c r="D45" s="95">
        <v>-269433.84000000003</v>
      </c>
      <c r="E45" s="94"/>
      <c r="F45" s="89"/>
      <c r="G45" s="94"/>
    </row>
    <row r="46" spans="1:7" s="14" customFormat="1" x14ac:dyDescent="0.25">
      <c r="A46" s="11"/>
      <c r="B46" s="12" t="s">
        <v>32</v>
      </c>
      <c r="C46" s="13"/>
      <c r="D46" s="91">
        <f>SUM(D39:D45)</f>
        <v>-118166.47000000003</v>
      </c>
      <c r="E46" s="94"/>
      <c r="F46" s="89"/>
      <c r="G46" s="94"/>
    </row>
    <row r="47" spans="1:7" s="14" customFormat="1" x14ac:dyDescent="0.25">
      <c r="A47" s="11"/>
      <c r="B47" s="12" t="s">
        <v>155</v>
      </c>
      <c r="C47" s="13"/>
      <c r="D47" s="98">
        <v>2724684.32</v>
      </c>
      <c r="E47" s="94"/>
      <c r="F47" s="80"/>
      <c r="G47" s="94"/>
    </row>
    <row r="48" spans="1:7" s="14" customFormat="1" ht="15.75" thickBot="1" x14ac:dyDescent="0.3">
      <c r="A48" s="11"/>
      <c r="B48" s="12" t="s">
        <v>167</v>
      </c>
      <c r="C48" s="13"/>
      <c r="D48" s="102">
        <f>SUM(D46:D47)</f>
        <v>2606517.8499999996</v>
      </c>
      <c r="E48" s="94"/>
      <c r="F48" s="80"/>
      <c r="G48" s="94"/>
    </row>
    <row r="49" spans="1:9" s="14" customFormat="1" ht="15.75" thickTop="1" x14ac:dyDescent="0.25">
      <c r="A49" s="13"/>
      <c r="B49" s="13"/>
      <c r="C49" s="13"/>
      <c r="D49" s="80"/>
      <c r="E49" s="80"/>
      <c r="F49" s="80"/>
      <c r="G49" s="94"/>
    </row>
    <row r="50" spans="1:9" x14ac:dyDescent="0.25">
      <c r="C50" s="13"/>
      <c r="D50" s="80"/>
    </row>
    <row r="51" spans="1:9" x14ac:dyDescent="0.25">
      <c r="B51" s="6" t="s">
        <v>116</v>
      </c>
      <c r="C51" s="13"/>
      <c r="D51" s="80"/>
      <c r="E51" s="96"/>
      <c r="F51" s="65"/>
    </row>
    <row r="52" spans="1:9" x14ac:dyDescent="0.25">
      <c r="E52" s="96"/>
      <c r="F52" s="65"/>
    </row>
    <row r="53" spans="1:9" x14ac:dyDescent="0.25">
      <c r="E53" s="96"/>
      <c r="F53" s="65"/>
    </row>
    <row r="54" spans="1:9" x14ac:dyDescent="0.25">
      <c r="I54" t="s">
        <v>160</v>
      </c>
    </row>
  </sheetData>
  <pageMargins left="0.7" right="0.7" top="0.75" bottom="0.75" header="0.3" footer="0.3"/>
  <pageSetup scale="80" orientation="portrait" r:id="rId1"/>
  <headerFooter>
    <oddHeader>&amp;CFirst Unitarian Universalist Congregation of Ann Arbor
General Fund Budget Vs. Actual
 Year to Date as of 
December 31,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340"/>
  <sheetViews>
    <sheetView workbookViewId="0">
      <pane xSplit="8" ySplit="2" topLeftCell="I153" activePane="bottomRight" state="frozenSplit"/>
      <selection pane="topRight" activeCell="I1" sqref="I1"/>
      <selection pane="bottomLeft" activeCell="A3" sqref="A3"/>
      <selection pane="bottomRight" activeCell="M360" sqref="M360"/>
    </sheetView>
  </sheetViews>
  <sheetFormatPr defaultRowHeight="15" x14ac:dyDescent="0.25"/>
  <cols>
    <col min="1" max="7" width="3" style="6" customWidth="1"/>
    <col min="8" max="8" width="36.5703125" style="6" customWidth="1"/>
    <col min="9" max="9" width="12" style="115" customWidth="1"/>
    <col min="10" max="10" width="2.42578125" style="115" customWidth="1"/>
    <col min="11" max="11" width="11.42578125" style="115" customWidth="1"/>
    <col min="12" max="12" width="2.42578125" style="115" customWidth="1"/>
    <col min="13" max="13" width="10.7109375" style="115" customWidth="1"/>
    <col min="14" max="14" width="2.42578125" style="115" customWidth="1"/>
    <col min="15" max="15" width="9.140625" style="115" hidden="1" customWidth="1"/>
    <col min="16" max="16" width="2.42578125" style="115" hidden="1" customWidth="1"/>
    <col min="17" max="17" width="11.140625" style="115" bestFit="1" customWidth="1"/>
  </cols>
  <sheetData>
    <row r="1" spans="1:17" ht="15.75" thickBot="1" x14ac:dyDescent="0.3">
      <c r="A1" s="1"/>
      <c r="B1" s="1"/>
      <c r="C1" s="1"/>
      <c r="D1" s="1"/>
      <c r="E1" s="1"/>
      <c r="F1" s="1"/>
      <c r="G1" s="1"/>
      <c r="H1" s="1"/>
      <c r="I1" s="108"/>
      <c r="J1" s="107"/>
      <c r="K1" s="108"/>
      <c r="L1" s="107"/>
      <c r="M1" s="108"/>
      <c r="N1" s="107"/>
      <c r="O1" s="108"/>
      <c r="P1" s="107"/>
      <c r="Q1" s="108"/>
    </row>
    <row r="2" spans="1:17" s="5" customFormat="1" ht="16.5" thickTop="1" thickBot="1" x14ac:dyDescent="0.3">
      <c r="A2" s="3"/>
      <c r="B2" s="3"/>
      <c r="C2" s="3"/>
      <c r="D2" s="3"/>
      <c r="E2" s="3"/>
      <c r="F2" s="3"/>
      <c r="G2" s="3"/>
      <c r="H2" s="3"/>
      <c r="I2" s="4" t="s">
        <v>483</v>
      </c>
      <c r="J2" s="114"/>
      <c r="K2" s="4" t="s">
        <v>484</v>
      </c>
      <c r="L2" s="114"/>
      <c r="M2" s="4" t="s">
        <v>165</v>
      </c>
      <c r="N2" s="114"/>
      <c r="O2" s="4" t="s">
        <v>145</v>
      </c>
      <c r="P2" s="114"/>
      <c r="Q2" s="4" t="s">
        <v>166</v>
      </c>
    </row>
    <row r="3" spans="1:17" ht="15.75" thickTop="1" x14ac:dyDescent="0.25">
      <c r="A3" s="1"/>
      <c r="B3" s="1" t="s">
        <v>169</v>
      </c>
      <c r="C3" s="1"/>
      <c r="D3" s="1"/>
      <c r="E3" s="1"/>
      <c r="F3" s="1"/>
      <c r="G3" s="1"/>
      <c r="H3" s="1"/>
      <c r="I3" s="2"/>
      <c r="J3" s="109"/>
      <c r="K3" s="2"/>
      <c r="L3" s="109"/>
      <c r="M3" s="2"/>
      <c r="N3" s="109"/>
      <c r="O3" s="2"/>
      <c r="P3" s="109"/>
      <c r="Q3" s="2"/>
    </row>
    <row r="4" spans="1:17" x14ac:dyDescent="0.25">
      <c r="A4" s="1"/>
      <c r="B4" s="1"/>
      <c r="C4" s="1" t="s">
        <v>0</v>
      </c>
      <c r="D4" s="1"/>
      <c r="E4" s="1"/>
      <c r="F4" s="1"/>
      <c r="G4" s="1"/>
      <c r="H4" s="1"/>
      <c r="I4" s="2"/>
      <c r="J4" s="109"/>
      <c r="K4" s="2"/>
      <c r="L4" s="109"/>
      <c r="M4" s="2"/>
      <c r="N4" s="109"/>
      <c r="O4" s="2"/>
      <c r="P4" s="109"/>
      <c r="Q4" s="2"/>
    </row>
    <row r="5" spans="1:17" x14ac:dyDescent="0.25">
      <c r="A5" s="1"/>
      <c r="B5" s="1"/>
      <c r="C5" s="1"/>
      <c r="D5" s="1" t="s">
        <v>1</v>
      </c>
      <c r="E5" s="1"/>
      <c r="F5" s="1"/>
      <c r="G5" s="1"/>
      <c r="H5" s="1"/>
      <c r="I5" s="2"/>
      <c r="J5" s="109"/>
      <c r="K5" s="2"/>
      <c r="L5" s="109"/>
      <c r="M5" s="2"/>
      <c r="N5" s="109"/>
      <c r="O5" s="2"/>
      <c r="P5" s="109"/>
      <c r="Q5" s="2"/>
    </row>
    <row r="6" spans="1:17" x14ac:dyDescent="0.25">
      <c r="A6" s="1"/>
      <c r="B6" s="1"/>
      <c r="C6" s="1"/>
      <c r="D6" s="1"/>
      <c r="E6" s="1" t="s">
        <v>170</v>
      </c>
      <c r="F6" s="1"/>
      <c r="G6" s="1"/>
      <c r="H6" s="1"/>
      <c r="I6" s="2">
        <v>80157.22</v>
      </c>
      <c r="J6" s="109"/>
      <c r="K6" s="2">
        <v>100000</v>
      </c>
      <c r="L6" s="109"/>
      <c r="M6" s="2">
        <v>936050.16</v>
      </c>
      <c r="N6" s="109"/>
      <c r="O6" s="2">
        <v>987000</v>
      </c>
      <c r="P6" s="109"/>
      <c r="Q6" s="2">
        <v>987000</v>
      </c>
    </row>
    <row r="7" spans="1:17" x14ac:dyDescent="0.25">
      <c r="A7" s="1"/>
      <c r="B7" s="1"/>
      <c r="C7" s="1"/>
      <c r="D7" s="1"/>
      <c r="E7" s="1" t="s">
        <v>171</v>
      </c>
      <c r="F7" s="1"/>
      <c r="G7" s="1"/>
      <c r="H7" s="1"/>
      <c r="I7" s="2">
        <v>0</v>
      </c>
      <c r="J7" s="109"/>
      <c r="K7" s="2">
        <v>0</v>
      </c>
      <c r="L7" s="109"/>
      <c r="M7" s="2">
        <v>0</v>
      </c>
      <c r="N7" s="109"/>
      <c r="O7" s="2">
        <v>89000</v>
      </c>
      <c r="P7" s="109"/>
      <c r="Q7" s="2">
        <v>89000</v>
      </c>
    </row>
    <row r="8" spans="1:17" ht="15.75" thickBot="1" x14ac:dyDescent="0.3">
      <c r="A8" s="1"/>
      <c r="B8" s="1"/>
      <c r="C8" s="1"/>
      <c r="D8" s="1"/>
      <c r="E8" s="1" t="s">
        <v>172</v>
      </c>
      <c r="F8" s="1"/>
      <c r="G8" s="1"/>
      <c r="H8" s="1"/>
      <c r="I8" s="110">
        <v>0</v>
      </c>
      <c r="J8" s="109"/>
      <c r="K8" s="110"/>
      <c r="L8" s="109"/>
      <c r="M8" s="110">
        <v>147388.32999999999</v>
      </c>
      <c r="N8" s="109"/>
      <c r="O8" s="110"/>
      <c r="P8" s="109"/>
      <c r="Q8" s="110"/>
    </row>
    <row r="9" spans="1:17" x14ac:dyDescent="0.25">
      <c r="A9" s="1"/>
      <c r="B9" s="1"/>
      <c r="C9" s="1"/>
      <c r="D9" s="1" t="s">
        <v>173</v>
      </c>
      <c r="E9" s="1"/>
      <c r="F9" s="1"/>
      <c r="G9" s="1"/>
      <c r="H9" s="1"/>
      <c r="I9" s="2">
        <f>ROUND(SUM(I5:I8),5)</f>
        <v>80157.22</v>
      </c>
      <c r="J9" s="109"/>
      <c r="K9" s="2">
        <f>ROUND(SUM(K5:K8),5)</f>
        <v>100000</v>
      </c>
      <c r="L9" s="109"/>
      <c r="M9" s="2">
        <f>ROUND(SUM(M5:M8),5)</f>
        <v>1083438.49</v>
      </c>
      <c r="N9" s="109"/>
      <c r="O9" s="2">
        <f>ROUND(SUM(O5:O8),5)</f>
        <v>1076000</v>
      </c>
      <c r="P9" s="109"/>
      <c r="Q9" s="2">
        <f>ROUND(SUM(Q5:Q8),5)</f>
        <v>1076000</v>
      </c>
    </row>
    <row r="10" spans="1:17" x14ac:dyDescent="0.25">
      <c r="A10" s="1"/>
      <c r="B10" s="1"/>
      <c r="C10" s="1"/>
      <c r="D10" s="1" t="s">
        <v>2</v>
      </c>
      <c r="E10" s="1"/>
      <c r="F10" s="1"/>
      <c r="G10" s="1"/>
      <c r="H10" s="1"/>
      <c r="I10" s="2"/>
      <c r="J10" s="109"/>
      <c r="K10" s="2"/>
      <c r="L10" s="109"/>
      <c r="M10" s="2"/>
      <c r="N10" s="109"/>
      <c r="O10" s="2"/>
      <c r="P10" s="109"/>
      <c r="Q10" s="2"/>
    </row>
    <row r="11" spans="1:17" x14ac:dyDescent="0.25">
      <c r="A11" s="1"/>
      <c r="B11" s="1"/>
      <c r="C11" s="1"/>
      <c r="D11" s="1"/>
      <c r="E11" s="1" t="s">
        <v>174</v>
      </c>
      <c r="F11" s="1"/>
      <c r="G11" s="1"/>
      <c r="H11" s="1"/>
      <c r="I11" s="2">
        <v>0</v>
      </c>
      <c r="J11" s="109"/>
      <c r="K11" s="2">
        <v>2900</v>
      </c>
      <c r="L11" s="109"/>
      <c r="M11" s="2">
        <v>6177.6</v>
      </c>
      <c r="N11" s="109"/>
      <c r="O11" s="2">
        <v>28900</v>
      </c>
      <c r="P11" s="109"/>
      <c r="Q11" s="2">
        <v>28900</v>
      </c>
    </row>
    <row r="12" spans="1:17" x14ac:dyDescent="0.25">
      <c r="A12" s="1"/>
      <c r="B12" s="1"/>
      <c r="C12" s="1"/>
      <c r="D12" s="1"/>
      <c r="E12" s="1" t="s">
        <v>175</v>
      </c>
      <c r="F12" s="1"/>
      <c r="G12" s="1"/>
      <c r="H12" s="1"/>
      <c r="I12" s="2">
        <v>1265</v>
      </c>
      <c r="J12" s="109"/>
      <c r="K12" s="2">
        <v>3770</v>
      </c>
      <c r="L12" s="109"/>
      <c r="M12" s="2">
        <v>16471.669999999998</v>
      </c>
      <c r="N12" s="109"/>
      <c r="O12" s="2">
        <v>23690</v>
      </c>
      <c r="P12" s="109"/>
      <c r="Q12" s="2">
        <v>23690</v>
      </c>
    </row>
    <row r="13" spans="1:17" ht="15.75" thickBot="1" x14ac:dyDescent="0.3">
      <c r="A13" s="1"/>
      <c r="B13" s="1"/>
      <c r="C13" s="1"/>
      <c r="D13" s="1"/>
      <c r="E13" s="1" t="s">
        <v>176</v>
      </c>
      <c r="F13" s="1"/>
      <c r="G13" s="1"/>
      <c r="H13" s="1"/>
      <c r="I13" s="110">
        <v>1279</v>
      </c>
      <c r="J13" s="109"/>
      <c r="K13" s="110"/>
      <c r="L13" s="109"/>
      <c r="M13" s="110">
        <v>18281</v>
      </c>
      <c r="N13" s="109"/>
      <c r="O13" s="110"/>
      <c r="P13" s="109"/>
      <c r="Q13" s="110"/>
    </row>
    <row r="14" spans="1:17" x14ac:dyDescent="0.25">
      <c r="A14" s="1"/>
      <c r="B14" s="1"/>
      <c r="C14" s="1"/>
      <c r="D14" s="1" t="s">
        <v>177</v>
      </c>
      <c r="E14" s="1"/>
      <c r="F14" s="1"/>
      <c r="G14" s="1"/>
      <c r="H14" s="1"/>
      <c r="I14" s="2">
        <f>ROUND(SUM(I10:I13),5)</f>
        <v>2544</v>
      </c>
      <c r="J14" s="109"/>
      <c r="K14" s="2">
        <f>ROUND(SUM(K10:K13),5)</f>
        <v>6670</v>
      </c>
      <c r="L14" s="109"/>
      <c r="M14" s="2">
        <f>ROUND(SUM(M10:M13),5)</f>
        <v>40930.269999999997</v>
      </c>
      <c r="N14" s="109"/>
      <c r="O14" s="2">
        <f>ROUND(SUM(O10:O13),5)</f>
        <v>52590</v>
      </c>
      <c r="P14" s="109"/>
      <c r="Q14" s="2">
        <f>ROUND(SUM(Q10:Q13),5)</f>
        <v>52590</v>
      </c>
    </row>
    <row r="15" spans="1:17" x14ac:dyDescent="0.25">
      <c r="A15" s="1"/>
      <c r="B15" s="1"/>
      <c r="C15" s="1"/>
      <c r="D15" s="1" t="s">
        <v>3</v>
      </c>
      <c r="E15" s="1"/>
      <c r="F15" s="1"/>
      <c r="G15" s="1"/>
      <c r="H15" s="1"/>
      <c r="I15" s="2"/>
      <c r="J15" s="109"/>
      <c r="K15" s="2"/>
      <c r="L15" s="109"/>
      <c r="M15" s="2"/>
      <c r="N15" s="109"/>
      <c r="O15" s="2"/>
      <c r="P15" s="109"/>
      <c r="Q15" s="2"/>
    </row>
    <row r="16" spans="1:17" x14ac:dyDescent="0.25">
      <c r="A16" s="1"/>
      <c r="B16" s="1"/>
      <c r="C16" s="1"/>
      <c r="D16" s="1"/>
      <c r="E16" s="1" t="s">
        <v>178</v>
      </c>
      <c r="F16" s="1"/>
      <c r="G16" s="1"/>
      <c r="H16" s="1"/>
      <c r="I16" s="2">
        <v>1185</v>
      </c>
      <c r="J16" s="109"/>
      <c r="K16" s="2">
        <v>3510</v>
      </c>
      <c r="L16" s="109"/>
      <c r="M16" s="2">
        <v>16102.5</v>
      </c>
      <c r="N16" s="109"/>
      <c r="O16" s="2">
        <v>29933</v>
      </c>
      <c r="P16" s="109"/>
      <c r="Q16" s="2">
        <v>29933</v>
      </c>
    </row>
    <row r="17" spans="1:17" ht="15.75" thickBot="1" x14ac:dyDescent="0.3">
      <c r="A17" s="1"/>
      <c r="B17" s="1"/>
      <c r="C17" s="1"/>
      <c r="D17" s="1"/>
      <c r="E17" s="1" t="s">
        <v>179</v>
      </c>
      <c r="F17" s="1"/>
      <c r="G17" s="1"/>
      <c r="H17" s="1"/>
      <c r="I17" s="110">
        <v>0</v>
      </c>
      <c r="J17" s="109"/>
      <c r="K17" s="110">
        <v>250</v>
      </c>
      <c r="L17" s="109"/>
      <c r="M17" s="110">
        <v>-400</v>
      </c>
      <c r="N17" s="109"/>
      <c r="O17" s="110">
        <v>10000</v>
      </c>
      <c r="P17" s="109"/>
      <c r="Q17" s="110">
        <v>10000</v>
      </c>
    </row>
    <row r="18" spans="1:17" x14ac:dyDescent="0.25">
      <c r="A18" s="1"/>
      <c r="B18" s="1"/>
      <c r="C18" s="1"/>
      <c r="D18" s="1" t="s">
        <v>180</v>
      </c>
      <c r="E18" s="1"/>
      <c r="F18" s="1"/>
      <c r="G18" s="1"/>
      <c r="H18" s="1"/>
      <c r="I18" s="2">
        <f>ROUND(SUM(I15:I17),5)</f>
        <v>1185</v>
      </c>
      <c r="J18" s="109"/>
      <c r="K18" s="2">
        <f>ROUND(SUM(K15:K17),5)</f>
        <v>3760</v>
      </c>
      <c r="L18" s="109"/>
      <c r="M18" s="2">
        <f>ROUND(SUM(M15:M17),5)</f>
        <v>15702.5</v>
      </c>
      <c r="N18" s="109"/>
      <c r="O18" s="2">
        <f>ROUND(SUM(O15:O17),5)</f>
        <v>39933</v>
      </c>
      <c r="P18" s="109"/>
      <c r="Q18" s="2">
        <f>ROUND(SUM(Q15:Q17),5)</f>
        <v>39933</v>
      </c>
    </row>
    <row r="19" spans="1:17" x14ac:dyDescent="0.25">
      <c r="A19" s="1"/>
      <c r="B19" s="1"/>
      <c r="C19" s="1"/>
      <c r="D19" s="1" t="s">
        <v>4</v>
      </c>
      <c r="E19" s="1"/>
      <c r="F19" s="1"/>
      <c r="G19" s="1"/>
      <c r="H19" s="1"/>
      <c r="I19" s="2"/>
      <c r="J19" s="109"/>
      <c r="K19" s="2"/>
      <c r="L19" s="109"/>
      <c r="M19" s="2"/>
      <c r="N19" s="109"/>
      <c r="O19" s="2"/>
      <c r="P19" s="109"/>
      <c r="Q19" s="2"/>
    </row>
    <row r="20" spans="1:17" x14ac:dyDescent="0.25">
      <c r="A20" s="1"/>
      <c r="B20" s="1"/>
      <c r="C20" s="1"/>
      <c r="D20" s="1"/>
      <c r="E20" s="1" t="s">
        <v>181</v>
      </c>
      <c r="F20" s="1"/>
      <c r="G20" s="1"/>
      <c r="H20" s="1"/>
      <c r="I20" s="2">
        <v>59.1</v>
      </c>
      <c r="J20" s="109"/>
      <c r="K20" s="2"/>
      <c r="L20" s="109"/>
      <c r="M20" s="2">
        <v>59.1</v>
      </c>
      <c r="N20" s="109"/>
      <c r="O20" s="2"/>
      <c r="P20" s="109"/>
      <c r="Q20" s="2"/>
    </row>
    <row r="21" spans="1:17" x14ac:dyDescent="0.25">
      <c r="A21" s="1"/>
      <c r="B21" s="1"/>
      <c r="C21" s="1"/>
      <c r="D21" s="1"/>
      <c r="E21" s="1" t="s">
        <v>182</v>
      </c>
      <c r="F21" s="1"/>
      <c r="G21" s="1"/>
      <c r="H21" s="1"/>
      <c r="I21" s="2">
        <v>5.96</v>
      </c>
      <c r="J21" s="109"/>
      <c r="K21" s="2"/>
      <c r="L21" s="109"/>
      <c r="M21" s="2">
        <v>78.489999999999995</v>
      </c>
      <c r="N21" s="109"/>
      <c r="O21" s="2"/>
      <c r="P21" s="109"/>
      <c r="Q21" s="2"/>
    </row>
    <row r="22" spans="1:17" x14ac:dyDescent="0.25">
      <c r="A22" s="1"/>
      <c r="B22" s="1"/>
      <c r="C22" s="1"/>
      <c r="D22" s="1"/>
      <c r="E22" s="1" t="s">
        <v>183</v>
      </c>
      <c r="F22" s="1"/>
      <c r="G22" s="1"/>
      <c r="H22" s="1"/>
      <c r="I22" s="2">
        <v>0</v>
      </c>
      <c r="J22" s="109"/>
      <c r="K22" s="2">
        <v>730</v>
      </c>
      <c r="L22" s="109"/>
      <c r="M22" s="2">
        <v>1537.99</v>
      </c>
      <c r="N22" s="109"/>
      <c r="O22" s="2">
        <v>8000</v>
      </c>
      <c r="P22" s="109"/>
      <c r="Q22" s="2">
        <v>8000</v>
      </c>
    </row>
    <row r="23" spans="1:17" x14ac:dyDescent="0.25">
      <c r="A23" s="1"/>
      <c r="B23" s="1"/>
      <c r="C23" s="1"/>
      <c r="D23" s="1"/>
      <c r="E23" s="1" t="s">
        <v>184</v>
      </c>
      <c r="F23" s="1"/>
      <c r="G23" s="1"/>
      <c r="H23" s="1"/>
      <c r="I23" s="2">
        <v>2289.38</v>
      </c>
      <c r="J23" s="109"/>
      <c r="K23" s="2">
        <v>250</v>
      </c>
      <c r="L23" s="109"/>
      <c r="M23" s="2">
        <v>6853.23</v>
      </c>
      <c r="N23" s="109"/>
      <c r="O23" s="2">
        <v>2000</v>
      </c>
      <c r="P23" s="109"/>
      <c r="Q23" s="2">
        <v>2000</v>
      </c>
    </row>
    <row r="24" spans="1:17" x14ac:dyDescent="0.25">
      <c r="A24" s="1"/>
      <c r="B24" s="1"/>
      <c r="C24" s="1"/>
      <c r="D24" s="1"/>
      <c r="E24" s="1" t="s">
        <v>486</v>
      </c>
      <c r="F24" s="1"/>
      <c r="G24" s="1"/>
      <c r="H24" s="1"/>
      <c r="I24" s="2">
        <v>32300</v>
      </c>
      <c r="J24" s="109"/>
      <c r="K24" s="2"/>
      <c r="L24" s="109"/>
      <c r="M24" s="2">
        <v>32300</v>
      </c>
      <c r="N24" s="109"/>
      <c r="O24" s="2">
        <v>2000</v>
      </c>
      <c r="P24" s="109"/>
      <c r="Q24" s="2"/>
    </row>
    <row r="25" spans="1:17" ht="15.75" thickBot="1" x14ac:dyDescent="0.3">
      <c r="A25" s="1"/>
      <c r="B25" s="1"/>
      <c r="C25" s="1"/>
      <c r="D25" s="1"/>
      <c r="E25" s="1" t="s">
        <v>185</v>
      </c>
      <c r="F25" s="1"/>
      <c r="G25" s="1"/>
      <c r="H25" s="1"/>
      <c r="I25" s="110">
        <v>921</v>
      </c>
      <c r="J25" s="109"/>
      <c r="K25" s="110">
        <v>170</v>
      </c>
      <c r="L25" s="109"/>
      <c r="M25" s="110">
        <v>8971</v>
      </c>
      <c r="N25" s="109"/>
      <c r="O25" s="110">
        <v>2000</v>
      </c>
      <c r="P25" s="109"/>
      <c r="Q25" s="110">
        <v>2000</v>
      </c>
    </row>
    <row r="26" spans="1:17" x14ac:dyDescent="0.25">
      <c r="A26" s="1"/>
      <c r="B26" s="1"/>
      <c r="C26" s="1"/>
      <c r="D26" s="1" t="s">
        <v>186</v>
      </c>
      <c r="E26" s="1"/>
      <c r="F26" s="1"/>
      <c r="G26" s="1"/>
      <c r="H26" s="1"/>
      <c r="I26" s="2">
        <f>ROUND(SUM(I19:I25),5)</f>
        <v>35575.440000000002</v>
      </c>
      <c r="J26" s="109"/>
      <c r="K26" s="2">
        <f>ROUND(SUM(K19:K25),5)</f>
        <v>1150</v>
      </c>
      <c r="L26" s="109"/>
      <c r="M26" s="2">
        <f>ROUND(SUM(M19:M25),5)</f>
        <v>49799.81</v>
      </c>
      <c r="N26" s="109"/>
      <c r="O26" s="2">
        <f>ROUND(SUM(O19:O25),5)</f>
        <v>14000</v>
      </c>
      <c r="P26" s="109"/>
      <c r="Q26" s="2">
        <f>ROUND(SUM(Q19:Q25),5)</f>
        <v>12000</v>
      </c>
    </row>
    <row r="27" spans="1:17" x14ac:dyDescent="0.25">
      <c r="A27" s="1"/>
      <c r="B27" s="1"/>
      <c r="C27" s="1"/>
      <c r="D27" s="1" t="s">
        <v>5</v>
      </c>
      <c r="E27" s="1"/>
      <c r="F27" s="1"/>
      <c r="G27" s="1"/>
      <c r="H27" s="1"/>
      <c r="I27" s="2"/>
      <c r="J27" s="109"/>
      <c r="K27" s="2"/>
      <c r="L27" s="109"/>
      <c r="M27" s="2"/>
      <c r="N27" s="109"/>
      <c r="O27" s="2"/>
      <c r="P27" s="109"/>
      <c r="Q27" s="2"/>
    </row>
    <row r="28" spans="1:17" x14ac:dyDescent="0.25">
      <c r="A28" s="1"/>
      <c r="B28" s="1"/>
      <c r="C28" s="1"/>
      <c r="D28" s="1"/>
      <c r="E28" s="1" t="s">
        <v>187</v>
      </c>
      <c r="F28" s="1"/>
      <c r="G28" s="1"/>
      <c r="H28" s="1"/>
      <c r="I28" s="2">
        <v>0</v>
      </c>
      <c r="J28" s="109"/>
      <c r="K28" s="2">
        <v>1250</v>
      </c>
      <c r="L28" s="109"/>
      <c r="M28" s="2">
        <v>2000</v>
      </c>
      <c r="N28" s="109"/>
      <c r="O28" s="2">
        <v>2500</v>
      </c>
      <c r="P28" s="109"/>
      <c r="Q28" s="2">
        <v>2500</v>
      </c>
    </row>
    <row r="29" spans="1:17" x14ac:dyDescent="0.25">
      <c r="A29" s="1"/>
      <c r="B29" s="1"/>
      <c r="C29" s="1"/>
      <c r="D29" s="1"/>
      <c r="E29" s="1" t="s">
        <v>188</v>
      </c>
      <c r="F29" s="1"/>
      <c r="G29" s="1"/>
      <c r="H29" s="1"/>
      <c r="I29" s="2">
        <v>0</v>
      </c>
      <c r="J29" s="109"/>
      <c r="K29" s="2"/>
      <c r="L29" s="109"/>
      <c r="M29" s="2">
        <v>1000</v>
      </c>
      <c r="N29" s="109"/>
      <c r="O29" s="2"/>
      <c r="P29" s="109"/>
      <c r="Q29" s="2"/>
    </row>
    <row r="30" spans="1:17" x14ac:dyDescent="0.25">
      <c r="A30" s="1"/>
      <c r="B30" s="1"/>
      <c r="C30" s="1"/>
      <c r="D30" s="1"/>
      <c r="E30" s="1" t="s">
        <v>189</v>
      </c>
      <c r="F30" s="1"/>
      <c r="G30" s="1"/>
      <c r="H30" s="1"/>
      <c r="I30" s="2">
        <v>118.48</v>
      </c>
      <c r="J30" s="109"/>
      <c r="K30" s="2">
        <v>1750</v>
      </c>
      <c r="L30" s="109"/>
      <c r="M30" s="2">
        <v>3813.95</v>
      </c>
      <c r="N30" s="109"/>
      <c r="O30" s="2">
        <v>7000</v>
      </c>
      <c r="P30" s="109"/>
      <c r="Q30" s="2">
        <v>7000</v>
      </c>
    </row>
    <row r="31" spans="1:17" ht="15.75" thickBot="1" x14ac:dyDescent="0.3">
      <c r="A31" s="1"/>
      <c r="B31" s="1"/>
      <c r="C31" s="1"/>
      <c r="D31" s="1"/>
      <c r="E31" s="1" t="s">
        <v>190</v>
      </c>
      <c r="F31" s="1"/>
      <c r="G31" s="1"/>
      <c r="H31" s="1"/>
      <c r="I31" s="111">
        <v>-3816.99</v>
      </c>
      <c r="J31" s="109"/>
      <c r="K31" s="111">
        <v>0</v>
      </c>
      <c r="L31" s="109"/>
      <c r="M31" s="111">
        <v>0</v>
      </c>
      <c r="N31" s="109"/>
      <c r="O31" s="111">
        <v>29376</v>
      </c>
      <c r="P31" s="109"/>
      <c r="Q31" s="111">
        <v>29376</v>
      </c>
    </row>
    <row r="32" spans="1:17" ht="15.75" thickBot="1" x14ac:dyDescent="0.3">
      <c r="A32" s="1"/>
      <c r="B32" s="1"/>
      <c r="C32" s="1"/>
      <c r="D32" s="1" t="s">
        <v>191</v>
      </c>
      <c r="E32" s="1"/>
      <c r="F32" s="1"/>
      <c r="G32" s="1"/>
      <c r="H32" s="1"/>
      <c r="I32" s="112">
        <f>ROUND(SUM(I27:I31),5)</f>
        <v>-3698.51</v>
      </c>
      <c r="J32" s="109"/>
      <c r="K32" s="112">
        <f>ROUND(SUM(K27:K31),5)</f>
        <v>3000</v>
      </c>
      <c r="L32" s="109"/>
      <c r="M32" s="112">
        <f>ROUND(SUM(M27:M31),5)</f>
        <v>6813.95</v>
      </c>
      <c r="N32" s="109"/>
      <c r="O32" s="112">
        <f>ROUND(SUM(O27:O31),5)</f>
        <v>38876</v>
      </c>
      <c r="P32" s="109"/>
      <c r="Q32" s="112">
        <f>ROUND(SUM(Q27:Q31),5)</f>
        <v>38876</v>
      </c>
    </row>
    <row r="33" spans="1:17" x14ac:dyDescent="0.25">
      <c r="A33" s="1"/>
      <c r="B33" s="1"/>
      <c r="C33" s="1" t="s">
        <v>6</v>
      </c>
      <c r="D33" s="1"/>
      <c r="E33" s="1"/>
      <c r="F33" s="1"/>
      <c r="G33" s="1"/>
      <c r="H33" s="1"/>
      <c r="I33" s="2">
        <f>ROUND(I4+I9+I14+I18+I26+I32,5)</f>
        <v>115763.15</v>
      </c>
      <c r="J33" s="109"/>
      <c r="K33" s="2">
        <f>ROUND(K4+K9+K14+K18+K26+K32,5)</f>
        <v>114580</v>
      </c>
      <c r="L33" s="109"/>
      <c r="M33" s="2">
        <f>ROUND(M4+M9+M14+M18+M26+M32,5)</f>
        <v>1196685.02</v>
      </c>
      <c r="N33" s="109"/>
      <c r="O33" s="2">
        <f>ROUND(O4+O9+O14+O18+O26+O32,5)</f>
        <v>1221399</v>
      </c>
      <c r="P33" s="109"/>
      <c r="Q33" s="2">
        <f>ROUND(Q4+Q9+Q14+Q18+Q26+Q32,5)</f>
        <v>1219399</v>
      </c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2"/>
      <c r="J34" s="109"/>
      <c r="K34" s="2"/>
      <c r="L34" s="109"/>
      <c r="M34" s="2"/>
      <c r="N34" s="109"/>
      <c r="O34" s="2"/>
      <c r="P34" s="109"/>
      <c r="Q34" s="2"/>
    </row>
    <row r="35" spans="1:17" x14ac:dyDescent="0.25">
      <c r="A35" s="1"/>
      <c r="B35" s="1"/>
      <c r="C35" s="1" t="s">
        <v>7</v>
      </c>
      <c r="D35" s="1"/>
      <c r="E35" s="1"/>
      <c r="F35" s="1"/>
      <c r="G35" s="1"/>
      <c r="H35" s="1"/>
      <c r="I35" s="2"/>
      <c r="J35" s="109"/>
      <c r="K35" s="2"/>
      <c r="L35" s="109"/>
      <c r="M35" s="2"/>
      <c r="N35" s="109"/>
      <c r="O35" s="2"/>
      <c r="P35" s="109"/>
      <c r="Q35" s="2"/>
    </row>
    <row r="36" spans="1:17" x14ac:dyDescent="0.25">
      <c r="A36" s="1"/>
      <c r="B36" s="1"/>
      <c r="C36" s="1"/>
      <c r="D36" s="1" t="s">
        <v>192</v>
      </c>
      <c r="E36" s="1"/>
      <c r="F36" s="1"/>
      <c r="G36" s="1"/>
      <c r="H36" s="1"/>
      <c r="I36" s="2"/>
      <c r="J36" s="109"/>
      <c r="K36" s="2"/>
      <c r="L36" s="109"/>
      <c r="M36" s="2"/>
      <c r="N36" s="109"/>
      <c r="O36" s="2"/>
      <c r="P36" s="109"/>
      <c r="Q36" s="2"/>
    </row>
    <row r="37" spans="1:17" x14ac:dyDescent="0.25">
      <c r="A37" s="1"/>
      <c r="B37" s="1"/>
      <c r="C37" s="1"/>
      <c r="D37" s="1"/>
      <c r="E37" s="1" t="s">
        <v>8</v>
      </c>
      <c r="F37" s="1"/>
      <c r="G37" s="1"/>
      <c r="H37" s="1"/>
      <c r="I37" s="2"/>
      <c r="J37" s="109"/>
      <c r="K37" s="2"/>
      <c r="L37" s="109"/>
      <c r="M37" s="2"/>
      <c r="N37" s="109"/>
      <c r="O37" s="2"/>
      <c r="P37" s="109"/>
      <c r="Q37" s="2"/>
    </row>
    <row r="38" spans="1:17" x14ac:dyDescent="0.25">
      <c r="A38" s="1"/>
      <c r="B38" s="1"/>
      <c r="C38" s="1"/>
      <c r="D38" s="1"/>
      <c r="E38" s="1"/>
      <c r="F38" s="1" t="s">
        <v>193</v>
      </c>
      <c r="G38" s="1"/>
      <c r="H38" s="1"/>
      <c r="I38" s="2">
        <v>400</v>
      </c>
      <c r="J38" s="109"/>
      <c r="K38" s="2">
        <v>250</v>
      </c>
      <c r="L38" s="109"/>
      <c r="M38" s="2">
        <v>4167.5600000000004</v>
      </c>
      <c r="N38" s="109"/>
      <c r="O38" s="2">
        <v>2000</v>
      </c>
      <c r="P38" s="109"/>
      <c r="Q38" s="2">
        <v>2000</v>
      </c>
    </row>
    <row r="39" spans="1:17" x14ac:dyDescent="0.25">
      <c r="A39" s="1"/>
      <c r="B39" s="1"/>
      <c r="C39" s="1"/>
      <c r="D39" s="1"/>
      <c r="E39" s="1"/>
      <c r="F39" s="1" t="s">
        <v>194</v>
      </c>
      <c r="G39" s="1"/>
      <c r="H39" s="1"/>
      <c r="I39" s="2">
        <v>0</v>
      </c>
      <c r="J39" s="109"/>
      <c r="K39" s="2">
        <v>275</v>
      </c>
      <c r="L39" s="109"/>
      <c r="M39" s="2">
        <v>2570</v>
      </c>
      <c r="N39" s="109"/>
      <c r="O39" s="2">
        <v>2975</v>
      </c>
      <c r="P39" s="109"/>
      <c r="Q39" s="2">
        <v>2975</v>
      </c>
    </row>
    <row r="40" spans="1:17" x14ac:dyDescent="0.25">
      <c r="A40" s="1"/>
      <c r="B40" s="1"/>
      <c r="C40" s="1"/>
      <c r="D40" s="1"/>
      <c r="E40" s="1"/>
      <c r="F40" s="1" t="s">
        <v>195</v>
      </c>
      <c r="G40" s="1"/>
      <c r="H40" s="1"/>
      <c r="I40" s="2">
        <v>0</v>
      </c>
      <c r="J40" s="109"/>
      <c r="K40" s="2">
        <v>0</v>
      </c>
      <c r="L40" s="109"/>
      <c r="M40" s="2">
        <v>0</v>
      </c>
      <c r="N40" s="109"/>
      <c r="O40" s="2">
        <v>500</v>
      </c>
      <c r="P40" s="109"/>
      <c r="Q40" s="2">
        <v>500</v>
      </c>
    </row>
    <row r="41" spans="1:17" x14ac:dyDescent="0.25">
      <c r="A41" s="1"/>
      <c r="B41" s="1"/>
      <c r="C41" s="1"/>
      <c r="D41" s="1"/>
      <c r="E41" s="1"/>
      <c r="F41" s="1" t="s">
        <v>196</v>
      </c>
      <c r="G41" s="1"/>
      <c r="H41" s="1"/>
      <c r="I41" s="2">
        <v>482.33</v>
      </c>
      <c r="J41" s="109"/>
      <c r="K41" s="2">
        <v>180</v>
      </c>
      <c r="L41" s="109"/>
      <c r="M41" s="2">
        <v>7645.32</v>
      </c>
      <c r="N41" s="109"/>
      <c r="O41" s="2">
        <v>1330</v>
      </c>
      <c r="P41" s="109"/>
      <c r="Q41" s="2">
        <v>1330</v>
      </c>
    </row>
    <row r="42" spans="1:17" x14ac:dyDescent="0.25">
      <c r="A42" s="1"/>
      <c r="B42" s="1"/>
      <c r="C42" s="1"/>
      <c r="D42" s="1"/>
      <c r="E42" s="1"/>
      <c r="F42" s="1" t="s">
        <v>197</v>
      </c>
      <c r="G42" s="1"/>
      <c r="H42" s="1"/>
      <c r="I42" s="2">
        <v>606.41</v>
      </c>
      <c r="J42" s="109"/>
      <c r="K42" s="2">
        <v>2000</v>
      </c>
      <c r="L42" s="109"/>
      <c r="M42" s="2">
        <v>1761.67</v>
      </c>
      <c r="N42" s="109"/>
      <c r="O42" s="2">
        <v>5240</v>
      </c>
      <c r="P42" s="109"/>
      <c r="Q42" s="2">
        <v>5240</v>
      </c>
    </row>
    <row r="43" spans="1:17" x14ac:dyDescent="0.25">
      <c r="A43" s="1"/>
      <c r="B43" s="1"/>
      <c r="C43" s="1"/>
      <c r="D43" s="1"/>
      <c r="E43" s="1"/>
      <c r="F43" s="1" t="s">
        <v>198</v>
      </c>
      <c r="G43" s="1"/>
      <c r="H43" s="1"/>
      <c r="I43" s="2">
        <v>0</v>
      </c>
      <c r="J43" s="109"/>
      <c r="K43" s="2">
        <v>0</v>
      </c>
      <c r="L43" s="109"/>
      <c r="M43" s="2">
        <v>600</v>
      </c>
      <c r="N43" s="109"/>
      <c r="O43" s="2">
        <v>2500</v>
      </c>
      <c r="P43" s="109"/>
      <c r="Q43" s="2">
        <v>2500</v>
      </c>
    </row>
    <row r="44" spans="1:17" x14ac:dyDescent="0.25">
      <c r="A44" s="1"/>
      <c r="B44" s="1"/>
      <c r="C44" s="1"/>
      <c r="D44" s="1"/>
      <c r="E44" s="1"/>
      <c r="F44" s="1" t="s">
        <v>199</v>
      </c>
      <c r="G44" s="1"/>
      <c r="H44" s="1"/>
      <c r="I44" s="2">
        <v>0</v>
      </c>
      <c r="J44" s="109"/>
      <c r="K44" s="2">
        <v>0</v>
      </c>
      <c r="L44" s="109"/>
      <c r="M44" s="2">
        <v>0</v>
      </c>
      <c r="N44" s="109"/>
      <c r="O44" s="2">
        <v>100</v>
      </c>
      <c r="P44" s="109"/>
      <c r="Q44" s="2">
        <v>100</v>
      </c>
    </row>
    <row r="45" spans="1:17" x14ac:dyDescent="0.25">
      <c r="A45" s="1"/>
      <c r="B45" s="1"/>
      <c r="C45" s="1"/>
      <c r="D45" s="1"/>
      <c r="E45" s="1"/>
      <c r="F45" s="1" t="s">
        <v>200</v>
      </c>
      <c r="G45" s="1"/>
      <c r="H45" s="1"/>
      <c r="I45" s="2">
        <v>0</v>
      </c>
      <c r="J45" s="109"/>
      <c r="K45" s="2">
        <v>250</v>
      </c>
      <c r="L45" s="109"/>
      <c r="M45" s="2">
        <v>0</v>
      </c>
      <c r="N45" s="109"/>
      <c r="O45" s="2">
        <v>500</v>
      </c>
      <c r="P45" s="109"/>
      <c r="Q45" s="2">
        <v>500</v>
      </c>
    </row>
    <row r="46" spans="1:17" x14ac:dyDescent="0.25">
      <c r="A46" s="1"/>
      <c r="B46" s="1"/>
      <c r="C46" s="1"/>
      <c r="D46" s="1"/>
      <c r="E46" s="1"/>
      <c r="F46" s="1" t="s">
        <v>201</v>
      </c>
      <c r="G46" s="1"/>
      <c r="H46" s="1"/>
      <c r="I46" s="2">
        <v>0</v>
      </c>
      <c r="J46" s="109"/>
      <c r="K46" s="2">
        <v>0</v>
      </c>
      <c r="L46" s="109"/>
      <c r="M46" s="2">
        <v>0</v>
      </c>
      <c r="N46" s="109"/>
      <c r="O46" s="2">
        <v>949</v>
      </c>
      <c r="P46" s="109"/>
      <c r="Q46" s="2">
        <v>949</v>
      </c>
    </row>
    <row r="47" spans="1:17" x14ac:dyDescent="0.25">
      <c r="A47" s="1"/>
      <c r="B47" s="1"/>
      <c r="C47" s="1"/>
      <c r="D47" s="1"/>
      <c r="E47" s="1"/>
      <c r="F47" s="1" t="s">
        <v>202</v>
      </c>
      <c r="G47" s="1"/>
      <c r="H47" s="1"/>
      <c r="I47" s="2">
        <v>0</v>
      </c>
      <c r="J47" s="109"/>
      <c r="K47" s="2">
        <v>125</v>
      </c>
      <c r="L47" s="109"/>
      <c r="M47" s="2">
        <v>215</v>
      </c>
      <c r="N47" s="109"/>
      <c r="O47" s="2">
        <v>1500</v>
      </c>
      <c r="P47" s="109"/>
      <c r="Q47" s="2">
        <v>1500</v>
      </c>
    </row>
    <row r="48" spans="1:17" x14ac:dyDescent="0.25">
      <c r="A48" s="1"/>
      <c r="B48" s="1"/>
      <c r="C48" s="1"/>
      <c r="D48" s="1"/>
      <c r="E48" s="1"/>
      <c r="F48" s="1" t="s">
        <v>203</v>
      </c>
      <c r="G48" s="1"/>
      <c r="H48" s="1"/>
      <c r="I48" s="2">
        <v>0</v>
      </c>
      <c r="J48" s="109"/>
      <c r="K48" s="2">
        <v>500</v>
      </c>
      <c r="L48" s="109"/>
      <c r="M48" s="2">
        <v>0</v>
      </c>
      <c r="N48" s="109"/>
      <c r="O48" s="2">
        <v>500</v>
      </c>
      <c r="P48" s="109"/>
      <c r="Q48" s="2">
        <v>500</v>
      </c>
    </row>
    <row r="49" spans="1:17" ht="15.75" thickBot="1" x14ac:dyDescent="0.3">
      <c r="A49" s="1"/>
      <c r="B49" s="1"/>
      <c r="C49" s="1"/>
      <c r="D49" s="1"/>
      <c r="E49" s="1"/>
      <c r="F49" s="1" t="s">
        <v>204</v>
      </c>
      <c r="G49" s="1"/>
      <c r="H49" s="1"/>
      <c r="I49" s="110">
        <v>0</v>
      </c>
      <c r="J49" s="109"/>
      <c r="K49" s="110">
        <v>0</v>
      </c>
      <c r="L49" s="109"/>
      <c r="M49" s="110">
        <v>50</v>
      </c>
      <c r="N49" s="109"/>
      <c r="O49" s="110">
        <v>500</v>
      </c>
      <c r="P49" s="109"/>
      <c r="Q49" s="110">
        <v>500</v>
      </c>
    </row>
    <row r="50" spans="1:17" x14ac:dyDescent="0.25">
      <c r="A50" s="1"/>
      <c r="B50" s="1"/>
      <c r="C50" s="1"/>
      <c r="D50" s="1"/>
      <c r="E50" s="1" t="s">
        <v>205</v>
      </c>
      <c r="F50" s="1"/>
      <c r="G50" s="1"/>
      <c r="H50" s="1"/>
      <c r="I50" s="2">
        <f>ROUND(SUM(I37:I49),5)</f>
        <v>1488.74</v>
      </c>
      <c r="J50" s="109"/>
      <c r="K50" s="2">
        <f>ROUND(SUM(K37:K49),5)</f>
        <v>3580</v>
      </c>
      <c r="L50" s="109"/>
      <c r="M50" s="2">
        <f>ROUND(SUM(M37:M49),5)</f>
        <v>17009.55</v>
      </c>
      <c r="N50" s="109"/>
      <c r="O50" s="2">
        <f>ROUND(SUM(O37:O49),5)</f>
        <v>18594</v>
      </c>
      <c r="P50" s="109"/>
      <c r="Q50" s="2">
        <f>ROUND(SUM(Q37:Q49),5)</f>
        <v>18594</v>
      </c>
    </row>
    <row r="51" spans="1:17" x14ac:dyDescent="0.25">
      <c r="A51" s="1"/>
      <c r="B51" s="1"/>
      <c r="C51" s="1"/>
      <c r="D51" s="1"/>
      <c r="E51" s="1" t="s">
        <v>206</v>
      </c>
      <c r="F51" s="1"/>
      <c r="G51" s="1"/>
      <c r="H51" s="1"/>
      <c r="I51" s="2"/>
      <c r="J51" s="109"/>
      <c r="K51" s="2"/>
      <c r="L51" s="109"/>
      <c r="M51" s="2"/>
      <c r="N51" s="109"/>
      <c r="O51" s="2"/>
      <c r="P51" s="109"/>
      <c r="Q51" s="2"/>
    </row>
    <row r="52" spans="1:17" x14ac:dyDescent="0.25">
      <c r="A52" s="1"/>
      <c r="B52" s="1"/>
      <c r="C52" s="1"/>
      <c r="D52" s="1"/>
      <c r="E52" s="1"/>
      <c r="F52" s="1" t="s">
        <v>207</v>
      </c>
      <c r="G52" s="1"/>
      <c r="H52" s="1"/>
      <c r="I52" s="2"/>
      <c r="J52" s="109"/>
      <c r="K52" s="2"/>
      <c r="L52" s="109"/>
      <c r="M52" s="2"/>
      <c r="N52" s="109"/>
      <c r="O52" s="2"/>
      <c r="P52" s="109"/>
      <c r="Q52" s="2"/>
    </row>
    <row r="53" spans="1:17" ht="15.75" thickBot="1" x14ac:dyDescent="0.3">
      <c r="A53" s="1"/>
      <c r="B53" s="1"/>
      <c r="C53" s="1"/>
      <c r="D53" s="1"/>
      <c r="E53" s="1"/>
      <c r="F53" s="1"/>
      <c r="G53" s="1" t="s">
        <v>208</v>
      </c>
      <c r="H53" s="1"/>
      <c r="I53" s="110">
        <v>0</v>
      </c>
      <c r="J53" s="109"/>
      <c r="K53" s="110">
        <v>0</v>
      </c>
      <c r="L53" s="109"/>
      <c r="M53" s="110">
        <v>0</v>
      </c>
      <c r="N53" s="109"/>
      <c r="O53" s="110">
        <v>200</v>
      </c>
      <c r="P53" s="109"/>
      <c r="Q53" s="110">
        <v>200</v>
      </c>
    </row>
    <row r="54" spans="1:17" x14ac:dyDescent="0.25">
      <c r="A54" s="1"/>
      <c r="B54" s="1"/>
      <c r="C54" s="1"/>
      <c r="D54" s="1"/>
      <c r="E54" s="1"/>
      <c r="F54" s="1" t="s">
        <v>209</v>
      </c>
      <c r="G54" s="1"/>
      <c r="H54" s="1"/>
      <c r="I54" s="2">
        <f>ROUND(SUM(I52:I53),5)</f>
        <v>0</v>
      </c>
      <c r="J54" s="109"/>
      <c r="K54" s="2">
        <f>ROUND(SUM(K52:K53),5)</f>
        <v>0</v>
      </c>
      <c r="L54" s="109"/>
      <c r="M54" s="2">
        <f>ROUND(SUM(M52:M53),5)</f>
        <v>0</v>
      </c>
      <c r="N54" s="109"/>
      <c r="O54" s="2">
        <f>ROUND(SUM(O52:O53),5)</f>
        <v>200</v>
      </c>
      <c r="P54" s="109"/>
      <c r="Q54" s="2">
        <f>ROUND(SUM(Q52:Q53),5)</f>
        <v>200</v>
      </c>
    </row>
    <row r="55" spans="1:17" x14ac:dyDescent="0.25">
      <c r="A55" s="1"/>
      <c r="B55" s="1"/>
      <c r="C55" s="1"/>
      <c r="D55" s="1"/>
      <c r="E55" s="1"/>
      <c r="F55" s="1" t="s">
        <v>210</v>
      </c>
      <c r="G55" s="1"/>
      <c r="H55" s="1"/>
      <c r="I55" s="2">
        <v>0</v>
      </c>
      <c r="J55" s="109"/>
      <c r="K55" s="2">
        <v>100</v>
      </c>
      <c r="L55" s="109"/>
      <c r="M55" s="2">
        <v>127.66</v>
      </c>
      <c r="N55" s="109"/>
      <c r="O55" s="2">
        <v>1200</v>
      </c>
      <c r="P55" s="109"/>
      <c r="Q55" s="2">
        <v>1200</v>
      </c>
    </row>
    <row r="56" spans="1:17" x14ac:dyDescent="0.25">
      <c r="A56" s="1"/>
      <c r="B56" s="1"/>
      <c r="C56" s="1"/>
      <c r="D56" s="1"/>
      <c r="E56" s="1"/>
      <c r="F56" s="1" t="s">
        <v>211</v>
      </c>
      <c r="G56" s="1"/>
      <c r="H56" s="1"/>
      <c r="I56" s="2">
        <f>-6.67+18.07</f>
        <v>11.4</v>
      </c>
      <c r="J56" s="109"/>
      <c r="K56" s="2">
        <v>380</v>
      </c>
      <c r="L56" s="109"/>
      <c r="M56" s="2">
        <f>1854.71-6.67</f>
        <v>1848.04</v>
      </c>
      <c r="N56" s="109"/>
      <c r="O56" s="2">
        <v>3800</v>
      </c>
      <c r="P56" s="109"/>
      <c r="Q56" s="2">
        <v>3800</v>
      </c>
    </row>
    <row r="57" spans="1:17" x14ac:dyDescent="0.25">
      <c r="A57" s="1"/>
      <c r="B57" s="1"/>
      <c r="C57" s="1"/>
      <c r="D57" s="1"/>
      <c r="E57" s="1"/>
      <c r="F57" s="1" t="s">
        <v>212</v>
      </c>
      <c r="G57" s="1"/>
      <c r="H57" s="1"/>
      <c r="I57" s="2"/>
      <c r="J57" s="109"/>
      <c r="K57" s="2"/>
      <c r="L57" s="109"/>
      <c r="M57" s="2"/>
      <c r="N57" s="109"/>
      <c r="O57" s="2"/>
      <c r="P57" s="109"/>
      <c r="Q57" s="2"/>
    </row>
    <row r="58" spans="1:17" ht="15.75" thickBot="1" x14ac:dyDescent="0.3">
      <c r="A58" s="1"/>
      <c r="B58" s="1"/>
      <c r="C58" s="1"/>
      <c r="D58" s="1"/>
      <c r="E58" s="1"/>
      <c r="F58" s="1"/>
      <c r="G58" s="1" t="s">
        <v>213</v>
      </c>
      <c r="H58" s="1"/>
      <c r="I58" s="110">
        <v>0</v>
      </c>
      <c r="J58" s="109"/>
      <c r="K58" s="110">
        <v>150</v>
      </c>
      <c r="L58" s="109"/>
      <c r="M58" s="110">
        <v>94.07</v>
      </c>
      <c r="N58" s="109"/>
      <c r="O58" s="110">
        <v>1350</v>
      </c>
      <c r="P58" s="109"/>
      <c r="Q58" s="110">
        <v>1350</v>
      </c>
    </row>
    <row r="59" spans="1:17" x14ac:dyDescent="0.25">
      <c r="A59" s="1"/>
      <c r="B59" s="1"/>
      <c r="C59" s="1"/>
      <c r="D59" s="1"/>
      <c r="E59" s="1"/>
      <c r="F59" s="1" t="s">
        <v>214</v>
      </c>
      <c r="G59" s="1"/>
      <c r="H59" s="1"/>
      <c r="I59" s="2">
        <f>ROUND(SUM(I57:I58),5)</f>
        <v>0</v>
      </c>
      <c r="J59" s="109"/>
      <c r="K59" s="2">
        <f>ROUND(SUM(K57:K58),5)</f>
        <v>150</v>
      </c>
      <c r="L59" s="109"/>
      <c r="M59" s="2">
        <f>ROUND(SUM(M57:M58),5)</f>
        <v>94.07</v>
      </c>
      <c r="N59" s="109"/>
      <c r="O59" s="2">
        <f>ROUND(SUM(O57:O58),5)</f>
        <v>1350</v>
      </c>
      <c r="P59" s="109"/>
      <c r="Q59" s="2">
        <f>ROUND(SUM(Q57:Q58),5)</f>
        <v>1350</v>
      </c>
    </row>
    <row r="60" spans="1:17" x14ac:dyDescent="0.25">
      <c r="A60" s="1"/>
      <c r="B60" s="1"/>
      <c r="C60" s="1"/>
      <c r="D60" s="1"/>
      <c r="E60" s="1"/>
      <c r="F60" s="1" t="s">
        <v>215</v>
      </c>
      <c r="G60" s="1"/>
      <c r="H60" s="1"/>
      <c r="I60" s="2"/>
      <c r="J60" s="109"/>
      <c r="K60" s="2"/>
      <c r="L60" s="109"/>
      <c r="M60" s="2"/>
      <c r="N60" s="109"/>
      <c r="O60" s="2"/>
      <c r="P60" s="109"/>
      <c r="Q60" s="2"/>
    </row>
    <row r="61" spans="1:17" ht="15.75" thickBot="1" x14ac:dyDescent="0.3">
      <c r="A61" s="1"/>
      <c r="B61" s="1"/>
      <c r="C61" s="1"/>
      <c r="D61" s="1"/>
      <c r="E61" s="1"/>
      <c r="F61" s="1"/>
      <c r="G61" s="1" t="s">
        <v>216</v>
      </c>
      <c r="H61" s="1"/>
      <c r="I61" s="110">
        <v>0</v>
      </c>
      <c r="J61" s="109"/>
      <c r="K61" s="110">
        <v>150</v>
      </c>
      <c r="L61" s="109"/>
      <c r="M61" s="110">
        <v>460.15</v>
      </c>
      <c r="N61" s="109"/>
      <c r="O61" s="110">
        <v>1800</v>
      </c>
      <c r="P61" s="109"/>
      <c r="Q61" s="110">
        <v>1800</v>
      </c>
    </row>
    <row r="62" spans="1:17" x14ac:dyDescent="0.25">
      <c r="A62" s="1"/>
      <c r="B62" s="1"/>
      <c r="C62" s="1"/>
      <c r="D62" s="1"/>
      <c r="E62" s="1"/>
      <c r="F62" s="1" t="s">
        <v>217</v>
      </c>
      <c r="G62" s="1"/>
      <c r="H62" s="1"/>
      <c r="I62" s="2">
        <f>ROUND(SUM(I60:I61),5)</f>
        <v>0</v>
      </c>
      <c r="J62" s="109"/>
      <c r="K62" s="2">
        <f>ROUND(SUM(K60:K61),5)</f>
        <v>150</v>
      </c>
      <c r="L62" s="109"/>
      <c r="M62" s="2">
        <f>ROUND(SUM(M60:M61),5)</f>
        <v>460.15</v>
      </c>
      <c r="N62" s="109"/>
      <c r="O62" s="2">
        <f>ROUND(SUM(O60:O61),5)</f>
        <v>1800</v>
      </c>
      <c r="P62" s="109"/>
      <c r="Q62" s="2">
        <f>ROUND(SUM(Q60:Q61),5)</f>
        <v>1800</v>
      </c>
    </row>
    <row r="63" spans="1:17" x14ac:dyDescent="0.25">
      <c r="A63" s="1"/>
      <c r="B63" s="1"/>
      <c r="C63" s="1"/>
      <c r="D63" s="1"/>
      <c r="E63" s="1"/>
      <c r="F63" s="1" t="s">
        <v>218</v>
      </c>
      <c r="G63" s="1"/>
      <c r="H63" s="1"/>
      <c r="I63" s="2">
        <v>0</v>
      </c>
      <c r="J63" s="109"/>
      <c r="K63" s="2">
        <v>0</v>
      </c>
      <c r="L63" s="109"/>
      <c r="M63" s="2">
        <v>0</v>
      </c>
      <c r="N63" s="109"/>
      <c r="O63" s="2">
        <v>1000</v>
      </c>
      <c r="P63" s="109"/>
      <c r="Q63" s="2">
        <v>1000</v>
      </c>
    </row>
    <row r="64" spans="1:17" x14ac:dyDescent="0.25">
      <c r="A64" s="1"/>
      <c r="B64" s="1"/>
      <c r="C64" s="1"/>
      <c r="D64" s="1"/>
      <c r="E64" s="1"/>
      <c r="F64" s="1" t="s">
        <v>219</v>
      </c>
      <c r="G64" s="1"/>
      <c r="H64" s="1"/>
      <c r="I64" s="2"/>
      <c r="J64" s="109"/>
      <c r="K64" s="2"/>
      <c r="L64" s="109"/>
      <c r="M64" s="2"/>
      <c r="N64" s="109"/>
      <c r="O64" s="2"/>
      <c r="P64" s="109"/>
      <c r="Q64" s="2"/>
    </row>
    <row r="65" spans="1:17" ht="15.75" thickBot="1" x14ac:dyDescent="0.3">
      <c r="A65" s="1"/>
      <c r="B65" s="1"/>
      <c r="C65" s="1"/>
      <c r="D65" s="1"/>
      <c r="E65" s="1"/>
      <c r="F65" s="1"/>
      <c r="G65" s="1" t="s">
        <v>220</v>
      </c>
      <c r="H65" s="1"/>
      <c r="I65" s="111">
        <v>0</v>
      </c>
      <c r="J65" s="109"/>
      <c r="K65" s="111">
        <v>100</v>
      </c>
      <c r="L65" s="109"/>
      <c r="M65" s="111">
        <v>0</v>
      </c>
      <c r="N65" s="109"/>
      <c r="O65" s="111">
        <v>400</v>
      </c>
      <c r="P65" s="109"/>
      <c r="Q65" s="111">
        <v>400</v>
      </c>
    </row>
    <row r="66" spans="1:17" ht="15.75" thickBot="1" x14ac:dyDescent="0.3">
      <c r="A66" s="1"/>
      <c r="B66" s="1"/>
      <c r="C66" s="1"/>
      <c r="D66" s="1"/>
      <c r="E66" s="1"/>
      <c r="F66" s="1" t="s">
        <v>221</v>
      </c>
      <c r="G66" s="1"/>
      <c r="H66" s="1"/>
      <c r="I66" s="112">
        <f>ROUND(SUM(I64:I65),5)</f>
        <v>0</v>
      </c>
      <c r="J66" s="109"/>
      <c r="K66" s="112">
        <f>ROUND(SUM(K64:K65),5)</f>
        <v>100</v>
      </c>
      <c r="L66" s="109"/>
      <c r="M66" s="112">
        <f>ROUND(SUM(M64:M65),5)</f>
        <v>0</v>
      </c>
      <c r="N66" s="109"/>
      <c r="O66" s="112">
        <f>ROUND(SUM(O64:O65),5)</f>
        <v>400</v>
      </c>
      <c r="P66" s="109"/>
      <c r="Q66" s="112">
        <f>ROUND(SUM(Q64:Q65),5)</f>
        <v>400</v>
      </c>
    </row>
    <row r="67" spans="1:17" x14ac:dyDescent="0.25">
      <c r="A67" s="1"/>
      <c r="B67" s="1"/>
      <c r="C67" s="1"/>
      <c r="D67" s="1"/>
      <c r="E67" s="1" t="s">
        <v>222</v>
      </c>
      <c r="F67" s="1"/>
      <c r="G67" s="1"/>
      <c r="H67" s="1"/>
      <c r="I67" s="2">
        <f>ROUND(I51+SUM(I54:I56)+I59+SUM(I62:I63)+I66,5)</f>
        <v>11.4</v>
      </c>
      <c r="J67" s="109"/>
      <c r="K67" s="2">
        <f>ROUND(K51+SUM(K54:K56)+K59+SUM(K62:K63)+K66,5)</f>
        <v>880</v>
      </c>
      <c r="L67" s="109"/>
      <c r="M67" s="2">
        <f>ROUND(M51+SUM(M54:M56)+M59+SUM(M62:M63)+M66,5)</f>
        <v>2529.92</v>
      </c>
      <c r="N67" s="109"/>
      <c r="O67" s="2">
        <f>ROUND(O51+SUM(O54:O56)+O59+SUM(O62:O63)+O66,5)</f>
        <v>9750</v>
      </c>
      <c r="P67" s="109"/>
      <c r="Q67" s="2">
        <f>ROUND(Q51+SUM(Q54:Q56)+Q59+SUM(Q62:Q63)+Q66,5)</f>
        <v>9750</v>
      </c>
    </row>
    <row r="68" spans="1:17" x14ac:dyDescent="0.25">
      <c r="A68" s="1"/>
      <c r="B68" s="1"/>
      <c r="C68" s="1"/>
      <c r="D68" s="1"/>
      <c r="E68" s="1" t="s">
        <v>9</v>
      </c>
      <c r="F68" s="1"/>
      <c r="G68" s="1"/>
      <c r="H68" s="1"/>
      <c r="I68" s="2"/>
      <c r="J68" s="109"/>
      <c r="K68" s="2"/>
      <c r="L68" s="109"/>
      <c r="M68" s="2"/>
      <c r="N68" s="109"/>
      <c r="O68" s="2"/>
      <c r="P68" s="109"/>
      <c r="Q68" s="2"/>
    </row>
    <row r="69" spans="1:17" x14ac:dyDescent="0.25">
      <c r="A69" s="1"/>
      <c r="B69" s="1"/>
      <c r="C69" s="1"/>
      <c r="D69" s="1"/>
      <c r="E69" s="1"/>
      <c r="F69" s="1" t="s">
        <v>223</v>
      </c>
      <c r="G69" s="1"/>
      <c r="H69" s="1"/>
      <c r="I69" s="2">
        <v>0</v>
      </c>
      <c r="J69" s="109"/>
      <c r="K69" s="2">
        <v>500</v>
      </c>
      <c r="L69" s="109"/>
      <c r="M69" s="2">
        <v>3061.29</v>
      </c>
      <c r="N69" s="109"/>
      <c r="O69" s="2">
        <v>2000</v>
      </c>
      <c r="P69" s="109"/>
      <c r="Q69" s="2">
        <v>2000</v>
      </c>
    </row>
    <row r="70" spans="1:17" ht="15.75" thickBot="1" x14ac:dyDescent="0.3">
      <c r="A70" s="1"/>
      <c r="B70" s="1"/>
      <c r="C70" s="1"/>
      <c r="D70" s="1"/>
      <c r="E70" s="1"/>
      <c r="F70" s="1" t="s">
        <v>224</v>
      </c>
      <c r="G70" s="1"/>
      <c r="H70" s="1"/>
      <c r="I70" s="110">
        <v>600</v>
      </c>
      <c r="J70" s="109"/>
      <c r="K70" s="110">
        <v>500</v>
      </c>
      <c r="L70" s="109"/>
      <c r="M70" s="110">
        <v>1524.69</v>
      </c>
      <c r="N70" s="109"/>
      <c r="O70" s="110">
        <v>2800</v>
      </c>
      <c r="P70" s="109"/>
      <c r="Q70" s="110">
        <v>2800</v>
      </c>
    </row>
    <row r="71" spans="1:17" x14ac:dyDescent="0.25">
      <c r="A71" s="1"/>
      <c r="B71" s="1"/>
      <c r="C71" s="1"/>
      <c r="D71" s="1"/>
      <c r="E71" s="1" t="s">
        <v>225</v>
      </c>
      <c r="F71" s="1"/>
      <c r="G71" s="1"/>
      <c r="H71" s="1"/>
      <c r="I71" s="2">
        <f>ROUND(SUM(I68:I70),5)</f>
        <v>600</v>
      </c>
      <c r="J71" s="109"/>
      <c r="K71" s="2">
        <f>ROUND(SUM(K68:K70),5)</f>
        <v>1000</v>
      </c>
      <c r="L71" s="109"/>
      <c r="M71" s="2">
        <f>ROUND(SUM(M68:M70),5)</f>
        <v>4585.9799999999996</v>
      </c>
      <c r="N71" s="109"/>
      <c r="O71" s="2">
        <f>ROUND(SUM(O68:O70),5)</f>
        <v>4800</v>
      </c>
      <c r="P71" s="109"/>
      <c r="Q71" s="2">
        <f>ROUND(SUM(Q68:Q70),5)</f>
        <v>4800</v>
      </c>
    </row>
    <row r="72" spans="1:17" x14ac:dyDescent="0.25">
      <c r="A72" s="1"/>
      <c r="B72" s="1"/>
      <c r="C72" s="1"/>
      <c r="D72" s="1"/>
      <c r="E72" s="1" t="s">
        <v>10</v>
      </c>
      <c r="F72" s="1"/>
      <c r="G72" s="1"/>
      <c r="H72" s="1"/>
      <c r="I72" s="2"/>
      <c r="J72" s="109"/>
      <c r="K72" s="2"/>
      <c r="L72" s="109"/>
      <c r="M72" s="2"/>
      <c r="N72" s="109"/>
      <c r="O72" s="2"/>
      <c r="P72" s="109"/>
      <c r="Q72" s="2"/>
    </row>
    <row r="73" spans="1:17" x14ac:dyDescent="0.25">
      <c r="A73" s="1"/>
      <c r="B73" s="1"/>
      <c r="C73" s="1"/>
      <c r="D73" s="1"/>
      <c r="E73" s="1"/>
      <c r="F73" s="1" t="s">
        <v>226</v>
      </c>
      <c r="G73" s="1"/>
      <c r="H73" s="1"/>
      <c r="I73" s="2"/>
      <c r="J73" s="109"/>
      <c r="K73" s="2"/>
      <c r="L73" s="109"/>
      <c r="M73" s="2"/>
      <c r="N73" s="109"/>
      <c r="O73" s="2"/>
      <c r="P73" s="109"/>
      <c r="Q73" s="2"/>
    </row>
    <row r="74" spans="1:17" x14ac:dyDescent="0.25">
      <c r="A74" s="1"/>
      <c r="B74" s="1"/>
      <c r="C74" s="1"/>
      <c r="D74" s="1"/>
      <c r="E74" s="1"/>
      <c r="F74" s="1"/>
      <c r="G74" s="1" t="s">
        <v>227</v>
      </c>
      <c r="H74" s="1"/>
      <c r="I74" s="2">
        <v>0</v>
      </c>
      <c r="J74" s="109"/>
      <c r="K74" s="2">
        <v>90</v>
      </c>
      <c r="L74" s="109"/>
      <c r="M74" s="2">
        <v>0</v>
      </c>
      <c r="N74" s="109"/>
      <c r="O74" s="2">
        <v>410</v>
      </c>
      <c r="P74" s="109"/>
      <c r="Q74" s="2">
        <v>410</v>
      </c>
    </row>
    <row r="75" spans="1:17" ht="15.75" thickBot="1" x14ac:dyDescent="0.3">
      <c r="A75" s="1"/>
      <c r="B75" s="1"/>
      <c r="C75" s="1"/>
      <c r="D75" s="1"/>
      <c r="E75" s="1"/>
      <c r="F75" s="1"/>
      <c r="G75" s="1" t="s">
        <v>228</v>
      </c>
      <c r="H75" s="1"/>
      <c r="I75" s="110">
        <v>2794.85</v>
      </c>
      <c r="J75" s="109"/>
      <c r="K75" s="110">
        <v>730</v>
      </c>
      <c r="L75" s="109"/>
      <c r="M75" s="110">
        <f>3020.76+2794.85</f>
        <v>5815.6100000000006</v>
      </c>
      <c r="N75" s="109"/>
      <c r="O75" s="110">
        <v>9000</v>
      </c>
      <c r="P75" s="109"/>
      <c r="Q75" s="110">
        <v>9000</v>
      </c>
    </row>
    <row r="76" spans="1:17" x14ac:dyDescent="0.25">
      <c r="A76" s="1"/>
      <c r="B76" s="1"/>
      <c r="C76" s="1"/>
      <c r="D76" s="1"/>
      <c r="E76" s="1"/>
      <c r="F76" s="1" t="s">
        <v>229</v>
      </c>
      <c r="G76" s="1"/>
      <c r="H76" s="1"/>
      <c r="I76" s="2">
        <f>ROUND(SUM(I73:I75),5)</f>
        <v>2794.85</v>
      </c>
      <c r="J76" s="109"/>
      <c r="K76" s="2">
        <f>ROUND(SUM(K73:K75),5)</f>
        <v>820</v>
      </c>
      <c r="L76" s="109"/>
      <c r="M76" s="2">
        <f>ROUND(SUM(M73:M75),5)</f>
        <v>5815.61</v>
      </c>
      <c r="N76" s="109"/>
      <c r="O76" s="2">
        <f>ROUND(SUM(O73:O75),5)</f>
        <v>9410</v>
      </c>
      <c r="P76" s="109"/>
      <c r="Q76" s="2">
        <f>ROUND(SUM(Q73:Q75),5)</f>
        <v>9410</v>
      </c>
    </row>
    <row r="77" spans="1:17" x14ac:dyDescent="0.25">
      <c r="A77" s="1"/>
      <c r="B77" s="1"/>
      <c r="C77" s="1"/>
      <c r="D77" s="1"/>
      <c r="E77" s="1"/>
      <c r="F77" s="1" t="s">
        <v>230</v>
      </c>
      <c r="G77" s="1"/>
      <c r="H77" s="1"/>
      <c r="I77" s="2"/>
      <c r="J77" s="109"/>
      <c r="K77" s="2"/>
      <c r="L77" s="109"/>
      <c r="M77" s="2"/>
      <c r="N77" s="109"/>
      <c r="O77" s="2"/>
      <c r="P77" s="109"/>
      <c r="Q77" s="2"/>
    </row>
    <row r="78" spans="1:17" ht="15.75" thickBot="1" x14ac:dyDescent="0.3">
      <c r="A78" s="1"/>
      <c r="B78" s="1"/>
      <c r="C78" s="1"/>
      <c r="D78" s="1"/>
      <c r="E78" s="1"/>
      <c r="F78" s="1"/>
      <c r="G78" s="1" t="s">
        <v>231</v>
      </c>
      <c r="H78" s="1"/>
      <c r="I78" s="110">
        <v>79.37</v>
      </c>
      <c r="J78" s="109"/>
      <c r="K78" s="110">
        <v>70</v>
      </c>
      <c r="L78" s="109"/>
      <c r="M78" s="110">
        <v>102.53</v>
      </c>
      <c r="N78" s="109"/>
      <c r="O78" s="110">
        <v>840</v>
      </c>
      <c r="P78" s="109"/>
      <c r="Q78" s="110">
        <v>840</v>
      </c>
    </row>
    <row r="79" spans="1:17" x14ac:dyDescent="0.25">
      <c r="A79" s="1"/>
      <c r="B79" s="1"/>
      <c r="C79" s="1"/>
      <c r="D79" s="1"/>
      <c r="E79" s="1"/>
      <c r="F79" s="1" t="s">
        <v>232</v>
      </c>
      <c r="G79" s="1"/>
      <c r="H79" s="1"/>
      <c r="I79" s="2">
        <f>ROUND(SUM(I77:I78),5)</f>
        <v>79.37</v>
      </c>
      <c r="J79" s="109"/>
      <c r="K79" s="2">
        <f>ROUND(SUM(K77:K78),5)</f>
        <v>70</v>
      </c>
      <c r="L79" s="109"/>
      <c r="M79" s="2">
        <f>ROUND(SUM(M77:M78),5)</f>
        <v>102.53</v>
      </c>
      <c r="N79" s="109"/>
      <c r="O79" s="2">
        <f>ROUND(SUM(O77:O78),5)</f>
        <v>840</v>
      </c>
      <c r="P79" s="109"/>
      <c r="Q79" s="2">
        <f>ROUND(SUM(Q77:Q78),5)</f>
        <v>840</v>
      </c>
    </row>
    <row r="80" spans="1:17" x14ac:dyDescent="0.25">
      <c r="A80" s="1"/>
      <c r="B80" s="1"/>
      <c r="C80" s="1"/>
      <c r="D80" s="1"/>
      <c r="E80" s="1"/>
      <c r="F80" s="1" t="s">
        <v>233</v>
      </c>
      <c r="G80" s="1"/>
      <c r="H80" s="1"/>
      <c r="I80" s="2"/>
      <c r="J80" s="109"/>
      <c r="K80" s="2"/>
      <c r="L80" s="109"/>
      <c r="M80" s="2"/>
      <c r="N80" s="109"/>
      <c r="O80" s="2"/>
      <c r="P80" s="109"/>
      <c r="Q80" s="2"/>
    </row>
    <row r="81" spans="1:17" ht="15.75" thickBot="1" x14ac:dyDescent="0.3">
      <c r="A81" s="1"/>
      <c r="B81" s="1"/>
      <c r="C81" s="1"/>
      <c r="D81" s="1"/>
      <c r="E81" s="1"/>
      <c r="F81" s="1"/>
      <c r="G81" s="1" t="s">
        <v>234</v>
      </c>
      <c r="H81" s="1"/>
      <c r="I81" s="110">
        <v>0</v>
      </c>
      <c r="J81" s="109"/>
      <c r="K81" s="110">
        <v>0</v>
      </c>
      <c r="L81" s="109"/>
      <c r="M81" s="110">
        <v>0</v>
      </c>
      <c r="N81" s="109"/>
      <c r="O81" s="110">
        <v>100</v>
      </c>
      <c r="P81" s="109"/>
      <c r="Q81" s="110">
        <v>100</v>
      </c>
    </row>
    <row r="82" spans="1:17" x14ac:dyDescent="0.25">
      <c r="A82" s="1"/>
      <c r="B82" s="1"/>
      <c r="C82" s="1"/>
      <c r="D82" s="1"/>
      <c r="E82" s="1"/>
      <c r="F82" s="1" t="s">
        <v>235</v>
      </c>
      <c r="G82" s="1"/>
      <c r="H82" s="1"/>
      <c r="I82" s="2">
        <f>ROUND(SUM(I80:I81),5)</f>
        <v>0</v>
      </c>
      <c r="J82" s="109"/>
      <c r="K82" s="2">
        <f>ROUND(SUM(K80:K81),5)</f>
        <v>0</v>
      </c>
      <c r="L82" s="109"/>
      <c r="M82" s="2">
        <f>ROUND(SUM(M80:M81),5)</f>
        <v>0</v>
      </c>
      <c r="N82" s="109"/>
      <c r="O82" s="2">
        <f>ROUND(SUM(O80:O81),5)</f>
        <v>100</v>
      </c>
      <c r="P82" s="109"/>
      <c r="Q82" s="2">
        <f>ROUND(SUM(Q80:Q81),5)</f>
        <v>100</v>
      </c>
    </row>
    <row r="83" spans="1:17" x14ac:dyDescent="0.25">
      <c r="A83" s="1"/>
      <c r="B83" s="1"/>
      <c r="C83" s="1"/>
      <c r="D83" s="1"/>
      <c r="E83" s="1"/>
      <c r="F83" s="1" t="s">
        <v>236</v>
      </c>
      <c r="G83" s="1"/>
      <c r="H83" s="1"/>
      <c r="I83" s="2"/>
      <c r="J83" s="109"/>
      <c r="K83" s="2"/>
      <c r="L83" s="109"/>
      <c r="M83" s="2"/>
      <c r="N83" s="109"/>
      <c r="O83" s="2"/>
      <c r="P83" s="109"/>
      <c r="Q83" s="2"/>
    </row>
    <row r="84" spans="1:17" x14ac:dyDescent="0.25">
      <c r="A84" s="1"/>
      <c r="B84" s="1"/>
      <c r="C84" s="1"/>
      <c r="D84" s="1"/>
      <c r="E84" s="1"/>
      <c r="F84" s="1"/>
      <c r="G84" s="1" t="s">
        <v>237</v>
      </c>
      <c r="H84" s="1"/>
      <c r="I84" s="2">
        <v>0</v>
      </c>
      <c r="J84" s="109"/>
      <c r="K84" s="2">
        <v>100</v>
      </c>
      <c r="L84" s="109"/>
      <c r="M84" s="2">
        <v>0</v>
      </c>
      <c r="N84" s="109"/>
      <c r="O84" s="2">
        <v>1200</v>
      </c>
      <c r="P84" s="109"/>
      <c r="Q84" s="2">
        <v>1200</v>
      </c>
    </row>
    <row r="85" spans="1:17" x14ac:dyDescent="0.25">
      <c r="A85" s="1"/>
      <c r="B85" s="1"/>
      <c r="C85" s="1"/>
      <c r="D85" s="1"/>
      <c r="E85" s="1"/>
      <c r="F85" s="1"/>
      <c r="G85" s="1" t="s">
        <v>238</v>
      </c>
      <c r="H85" s="1"/>
      <c r="I85" s="2">
        <v>0</v>
      </c>
      <c r="J85" s="109"/>
      <c r="K85" s="2"/>
      <c r="L85" s="109"/>
      <c r="M85" s="2">
        <v>266</v>
      </c>
      <c r="N85" s="109"/>
      <c r="O85" s="2"/>
      <c r="P85" s="109"/>
      <c r="Q85" s="2"/>
    </row>
    <row r="86" spans="1:17" ht="15.75" thickBot="1" x14ac:dyDescent="0.3">
      <c r="A86" s="1"/>
      <c r="B86" s="1"/>
      <c r="C86" s="1"/>
      <c r="D86" s="1"/>
      <c r="E86" s="1"/>
      <c r="F86" s="1"/>
      <c r="G86" s="1" t="s">
        <v>239</v>
      </c>
      <c r="H86" s="1"/>
      <c r="I86" s="110">
        <v>0</v>
      </c>
      <c r="J86" s="109"/>
      <c r="K86" s="110"/>
      <c r="L86" s="109"/>
      <c r="M86" s="110">
        <v>30.85</v>
      </c>
      <c r="N86" s="109"/>
      <c r="O86" s="110"/>
      <c r="P86" s="109"/>
      <c r="Q86" s="110"/>
    </row>
    <row r="87" spans="1:17" x14ac:dyDescent="0.25">
      <c r="A87" s="1"/>
      <c r="B87" s="1"/>
      <c r="C87" s="1"/>
      <c r="D87" s="1"/>
      <c r="E87" s="1"/>
      <c r="F87" s="1" t="s">
        <v>240</v>
      </c>
      <c r="G87" s="1"/>
      <c r="H87" s="1"/>
      <c r="I87" s="2">
        <f>ROUND(SUM(I83:I86),5)</f>
        <v>0</v>
      </c>
      <c r="J87" s="109"/>
      <c r="K87" s="2">
        <f>ROUND(SUM(K83:K86),5)</f>
        <v>100</v>
      </c>
      <c r="L87" s="109"/>
      <c r="M87" s="2">
        <f>ROUND(SUM(M83:M86),5)</f>
        <v>296.85000000000002</v>
      </c>
      <c r="N87" s="109"/>
      <c r="O87" s="2">
        <f>ROUND(SUM(O83:O86),5)</f>
        <v>1200</v>
      </c>
      <c r="P87" s="109"/>
      <c r="Q87" s="2">
        <f>ROUND(SUM(Q83:Q86),5)</f>
        <v>1200</v>
      </c>
    </row>
    <row r="88" spans="1:17" x14ac:dyDescent="0.25">
      <c r="A88" s="1"/>
      <c r="B88" s="1"/>
      <c r="C88" s="1"/>
      <c r="D88" s="1"/>
      <c r="E88" s="1"/>
      <c r="F88" s="1" t="s">
        <v>241</v>
      </c>
      <c r="G88" s="1"/>
      <c r="H88" s="1"/>
      <c r="I88" s="2"/>
      <c r="J88" s="109"/>
      <c r="K88" s="2"/>
      <c r="L88" s="109"/>
      <c r="M88" s="2"/>
      <c r="N88" s="109"/>
      <c r="O88" s="2"/>
      <c r="P88" s="109"/>
      <c r="Q88" s="2"/>
    </row>
    <row r="89" spans="1:17" ht="15.75" thickBot="1" x14ac:dyDescent="0.3">
      <c r="A89" s="1"/>
      <c r="B89" s="1"/>
      <c r="C89" s="1"/>
      <c r="D89" s="1"/>
      <c r="E89" s="1"/>
      <c r="F89" s="1"/>
      <c r="G89" s="1" t="s">
        <v>242</v>
      </c>
      <c r="H89" s="1"/>
      <c r="I89" s="110">
        <v>0</v>
      </c>
      <c r="J89" s="109"/>
      <c r="K89" s="110">
        <v>900</v>
      </c>
      <c r="L89" s="109"/>
      <c r="M89" s="110">
        <v>100</v>
      </c>
      <c r="N89" s="109"/>
      <c r="O89" s="110">
        <v>2700</v>
      </c>
      <c r="P89" s="109"/>
      <c r="Q89" s="110">
        <v>2700</v>
      </c>
    </row>
    <row r="90" spans="1:17" x14ac:dyDescent="0.25">
      <c r="A90" s="1"/>
      <c r="B90" s="1"/>
      <c r="C90" s="1"/>
      <c r="D90" s="1"/>
      <c r="E90" s="1"/>
      <c r="F90" s="1" t="s">
        <v>243</v>
      </c>
      <c r="G90" s="1"/>
      <c r="H90" s="1"/>
      <c r="I90" s="2">
        <f>ROUND(SUM(I88:I89),5)</f>
        <v>0</v>
      </c>
      <c r="J90" s="109"/>
      <c r="K90" s="2">
        <f>ROUND(SUM(K88:K89),5)</f>
        <v>900</v>
      </c>
      <c r="L90" s="109"/>
      <c r="M90" s="2">
        <f>ROUND(SUM(M88:M89),5)</f>
        <v>100</v>
      </c>
      <c r="N90" s="109"/>
      <c r="O90" s="2">
        <f>ROUND(SUM(O88:O89),5)</f>
        <v>2700</v>
      </c>
      <c r="P90" s="109"/>
      <c r="Q90" s="2">
        <f>ROUND(SUM(Q88:Q89),5)</f>
        <v>2700</v>
      </c>
    </row>
    <row r="91" spans="1:17" x14ac:dyDescent="0.25">
      <c r="A91" s="1"/>
      <c r="B91" s="1"/>
      <c r="C91" s="1"/>
      <c r="D91" s="1"/>
      <c r="E91" s="1"/>
      <c r="F91" s="1" t="s">
        <v>244</v>
      </c>
      <c r="G91" s="1"/>
      <c r="H91" s="1"/>
      <c r="I91" s="2"/>
      <c r="J91" s="109"/>
      <c r="K91" s="2"/>
      <c r="L91" s="109"/>
      <c r="M91" s="2"/>
      <c r="N91" s="109"/>
      <c r="O91" s="2"/>
      <c r="P91" s="109"/>
      <c r="Q91" s="2"/>
    </row>
    <row r="92" spans="1:17" ht="15.75" thickBot="1" x14ac:dyDescent="0.3">
      <c r="A92" s="1"/>
      <c r="B92" s="1"/>
      <c r="C92" s="1"/>
      <c r="D92" s="1"/>
      <c r="E92" s="1"/>
      <c r="F92" s="1"/>
      <c r="G92" s="1" t="s">
        <v>245</v>
      </c>
      <c r="H92" s="1"/>
      <c r="I92" s="110">
        <v>0</v>
      </c>
      <c r="J92" s="109"/>
      <c r="K92" s="110">
        <v>50</v>
      </c>
      <c r="L92" s="109"/>
      <c r="M92" s="110">
        <v>0</v>
      </c>
      <c r="N92" s="109"/>
      <c r="O92" s="110">
        <v>150</v>
      </c>
      <c r="P92" s="109"/>
      <c r="Q92" s="110">
        <v>150</v>
      </c>
    </row>
    <row r="93" spans="1:17" x14ac:dyDescent="0.25">
      <c r="A93" s="1"/>
      <c r="B93" s="1"/>
      <c r="C93" s="1"/>
      <c r="D93" s="1"/>
      <c r="E93" s="1"/>
      <c r="F93" s="1" t="s">
        <v>246</v>
      </c>
      <c r="G93" s="1"/>
      <c r="H93" s="1"/>
      <c r="I93" s="2">
        <f>ROUND(SUM(I91:I92),5)</f>
        <v>0</v>
      </c>
      <c r="J93" s="109"/>
      <c r="K93" s="2">
        <f>ROUND(SUM(K91:K92),5)</f>
        <v>50</v>
      </c>
      <c r="L93" s="109"/>
      <c r="M93" s="2">
        <f>ROUND(SUM(M91:M92),5)</f>
        <v>0</v>
      </c>
      <c r="N93" s="109"/>
      <c r="O93" s="2">
        <f>ROUND(SUM(O91:O92),5)</f>
        <v>150</v>
      </c>
      <c r="P93" s="109"/>
      <c r="Q93" s="2">
        <f>ROUND(SUM(Q91:Q92),5)</f>
        <v>150</v>
      </c>
    </row>
    <row r="94" spans="1:17" x14ac:dyDescent="0.25">
      <c r="A94" s="1"/>
      <c r="B94" s="1"/>
      <c r="C94" s="1"/>
      <c r="D94" s="1"/>
      <c r="E94" s="1"/>
      <c r="F94" s="1" t="s">
        <v>247</v>
      </c>
      <c r="G94" s="1"/>
      <c r="H94" s="1"/>
      <c r="I94" s="2"/>
      <c r="J94" s="109"/>
      <c r="K94" s="2"/>
      <c r="L94" s="109"/>
      <c r="M94" s="2"/>
      <c r="N94" s="109"/>
      <c r="O94" s="2"/>
      <c r="P94" s="109"/>
      <c r="Q94" s="2"/>
    </row>
    <row r="95" spans="1:17" ht="15.75" thickBot="1" x14ac:dyDescent="0.3">
      <c r="A95" s="1"/>
      <c r="B95" s="1"/>
      <c r="C95" s="1"/>
      <c r="D95" s="1"/>
      <c r="E95" s="1"/>
      <c r="F95" s="1"/>
      <c r="G95" s="1" t="s">
        <v>248</v>
      </c>
      <c r="H95" s="1"/>
      <c r="I95" s="111">
        <v>0</v>
      </c>
      <c r="J95" s="109"/>
      <c r="K95" s="111">
        <v>150</v>
      </c>
      <c r="L95" s="109"/>
      <c r="M95" s="111">
        <v>0</v>
      </c>
      <c r="N95" s="109"/>
      <c r="O95" s="111">
        <v>600</v>
      </c>
      <c r="P95" s="109"/>
      <c r="Q95" s="111">
        <v>600</v>
      </c>
    </row>
    <row r="96" spans="1:17" ht="15.75" thickBot="1" x14ac:dyDescent="0.3">
      <c r="A96" s="1"/>
      <c r="B96" s="1"/>
      <c r="C96" s="1"/>
      <c r="D96" s="1"/>
      <c r="E96" s="1"/>
      <c r="F96" s="1" t="s">
        <v>249</v>
      </c>
      <c r="G96" s="1"/>
      <c r="H96" s="1"/>
      <c r="I96" s="112">
        <f>ROUND(SUM(I94:I95),5)</f>
        <v>0</v>
      </c>
      <c r="J96" s="109"/>
      <c r="K96" s="112">
        <f>ROUND(SUM(K94:K95),5)</f>
        <v>150</v>
      </c>
      <c r="L96" s="109"/>
      <c r="M96" s="112">
        <f>ROUND(SUM(M94:M95),5)</f>
        <v>0</v>
      </c>
      <c r="N96" s="109"/>
      <c r="O96" s="112">
        <f>ROUND(SUM(O94:O95),5)</f>
        <v>600</v>
      </c>
      <c r="P96" s="109"/>
      <c r="Q96" s="112">
        <f>ROUND(SUM(Q94:Q95),5)</f>
        <v>600</v>
      </c>
    </row>
    <row r="97" spans="1:17" x14ac:dyDescent="0.25">
      <c r="A97" s="1"/>
      <c r="B97" s="1"/>
      <c r="C97" s="1"/>
      <c r="D97" s="1"/>
      <c r="E97" s="1" t="s">
        <v>250</v>
      </c>
      <c r="F97" s="1"/>
      <c r="G97" s="1"/>
      <c r="H97" s="1"/>
      <c r="I97" s="2">
        <f>ROUND(I72+I76+I79+I82+I87+I90+I93+I96,5)</f>
        <v>2874.22</v>
      </c>
      <c r="J97" s="109"/>
      <c r="K97" s="2">
        <f>ROUND(K72+K76+K79+K82+K87+K90+K93+K96,5)</f>
        <v>2090</v>
      </c>
      <c r="L97" s="109"/>
      <c r="M97" s="2">
        <f>ROUND(M72+M76+M79+M82+M87+M90+M93+M96,5)</f>
        <v>6314.99</v>
      </c>
      <c r="N97" s="109"/>
      <c r="O97" s="2">
        <f>ROUND(O72+O76+O79+O82+O87+O90+O93+O96,5)</f>
        <v>15000</v>
      </c>
      <c r="P97" s="109"/>
      <c r="Q97" s="2">
        <f>ROUND(Q72+Q76+Q79+Q82+Q87+Q90+Q93+Q96,5)</f>
        <v>15000</v>
      </c>
    </row>
    <row r="98" spans="1:17" x14ac:dyDescent="0.25">
      <c r="A98" s="1"/>
      <c r="B98" s="1"/>
      <c r="C98" s="1"/>
      <c r="D98" s="1"/>
      <c r="E98" s="1" t="s">
        <v>11</v>
      </c>
      <c r="F98" s="1"/>
      <c r="G98" s="1"/>
      <c r="H98" s="1"/>
      <c r="I98" s="2"/>
      <c r="J98" s="109"/>
      <c r="K98" s="2"/>
      <c r="L98" s="109"/>
      <c r="M98" s="2"/>
      <c r="N98" s="109"/>
      <c r="O98" s="2"/>
      <c r="P98" s="109"/>
      <c r="Q98" s="2"/>
    </row>
    <row r="99" spans="1:17" x14ac:dyDescent="0.25">
      <c r="A99" s="1"/>
      <c r="B99" s="1"/>
      <c r="C99" s="1"/>
      <c r="D99" s="1"/>
      <c r="E99" s="1"/>
      <c r="F99" s="1" t="s">
        <v>251</v>
      </c>
      <c r="G99" s="1"/>
      <c r="H99" s="1"/>
      <c r="I99" s="2"/>
      <c r="J99" s="109"/>
      <c r="K99" s="2"/>
      <c r="L99" s="109"/>
      <c r="M99" s="2"/>
      <c r="N99" s="109"/>
      <c r="O99" s="2"/>
      <c r="P99" s="109"/>
      <c r="Q99" s="2"/>
    </row>
    <row r="100" spans="1:17" ht="15.75" thickBot="1" x14ac:dyDescent="0.3">
      <c r="A100" s="1"/>
      <c r="B100" s="1"/>
      <c r="C100" s="1"/>
      <c r="D100" s="1"/>
      <c r="E100" s="1"/>
      <c r="F100" s="1"/>
      <c r="G100" s="1" t="s">
        <v>252</v>
      </c>
      <c r="H100" s="1"/>
      <c r="I100" s="110">
        <v>0</v>
      </c>
      <c r="J100" s="109"/>
      <c r="K100" s="110">
        <v>0</v>
      </c>
      <c r="L100" s="109"/>
      <c r="M100" s="110">
        <v>0</v>
      </c>
      <c r="N100" s="109"/>
      <c r="O100" s="110">
        <v>500</v>
      </c>
      <c r="P100" s="109"/>
      <c r="Q100" s="110">
        <v>500</v>
      </c>
    </row>
    <row r="101" spans="1:17" x14ac:dyDescent="0.25">
      <c r="A101" s="1"/>
      <c r="B101" s="1"/>
      <c r="C101" s="1"/>
      <c r="D101" s="1"/>
      <c r="E101" s="1"/>
      <c r="F101" s="1" t="s">
        <v>253</v>
      </c>
      <c r="G101" s="1"/>
      <c r="H101" s="1"/>
      <c r="I101" s="2">
        <f>ROUND(SUM(I99:I100),5)</f>
        <v>0</v>
      </c>
      <c r="J101" s="109"/>
      <c r="K101" s="2">
        <f>ROUND(SUM(K99:K100),5)</f>
        <v>0</v>
      </c>
      <c r="L101" s="109"/>
      <c r="M101" s="2">
        <f>ROUND(SUM(M99:M100),5)</f>
        <v>0</v>
      </c>
      <c r="N101" s="109"/>
      <c r="O101" s="2">
        <f>ROUND(SUM(O99:O100),5)</f>
        <v>500</v>
      </c>
      <c r="P101" s="109"/>
      <c r="Q101" s="2">
        <f>ROUND(SUM(Q99:Q100),5)</f>
        <v>500</v>
      </c>
    </row>
    <row r="102" spans="1:17" x14ac:dyDescent="0.25">
      <c r="A102" s="1"/>
      <c r="B102" s="1"/>
      <c r="C102" s="1"/>
      <c r="D102" s="1"/>
      <c r="E102" s="1"/>
      <c r="F102" s="1" t="s">
        <v>254</v>
      </c>
      <c r="G102" s="1"/>
      <c r="H102" s="1"/>
      <c r="I102" s="2"/>
      <c r="J102" s="109"/>
      <c r="K102" s="2"/>
      <c r="L102" s="109"/>
      <c r="M102" s="2"/>
      <c r="N102" s="109"/>
      <c r="O102" s="2"/>
      <c r="P102" s="109"/>
      <c r="Q102" s="2"/>
    </row>
    <row r="103" spans="1:17" ht="15.75" thickBot="1" x14ac:dyDescent="0.3">
      <c r="A103" s="1"/>
      <c r="B103" s="1"/>
      <c r="C103" s="1"/>
      <c r="D103" s="1"/>
      <c r="E103" s="1"/>
      <c r="F103" s="1"/>
      <c r="G103" s="1" t="s">
        <v>255</v>
      </c>
      <c r="H103" s="1"/>
      <c r="I103" s="110">
        <v>0</v>
      </c>
      <c r="J103" s="109"/>
      <c r="K103" s="110">
        <v>0</v>
      </c>
      <c r="L103" s="109"/>
      <c r="M103" s="110">
        <v>13000</v>
      </c>
      <c r="N103" s="109"/>
      <c r="O103" s="110">
        <v>11000</v>
      </c>
      <c r="P103" s="109"/>
      <c r="Q103" s="110">
        <v>11000</v>
      </c>
    </row>
    <row r="104" spans="1:17" x14ac:dyDescent="0.25">
      <c r="A104" s="1"/>
      <c r="B104" s="1"/>
      <c r="C104" s="1"/>
      <c r="D104" s="1"/>
      <c r="E104" s="1"/>
      <c r="F104" s="1" t="s">
        <v>256</v>
      </c>
      <c r="G104" s="1"/>
      <c r="H104" s="1"/>
      <c r="I104" s="2">
        <f>ROUND(SUM(I102:I103),5)</f>
        <v>0</v>
      </c>
      <c r="J104" s="109"/>
      <c r="K104" s="2">
        <f>ROUND(SUM(K102:K103),5)</f>
        <v>0</v>
      </c>
      <c r="L104" s="109"/>
      <c r="M104" s="2">
        <f>ROUND(SUM(M102:M103),5)</f>
        <v>13000</v>
      </c>
      <c r="N104" s="109"/>
      <c r="O104" s="2">
        <f>ROUND(SUM(O102:O103),5)</f>
        <v>11000</v>
      </c>
      <c r="P104" s="109"/>
      <c r="Q104" s="2">
        <f>ROUND(SUM(Q102:Q103),5)</f>
        <v>11000</v>
      </c>
    </row>
    <row r="105" spans="1:17" x14ac:dyDescent="0.25">
      <c r="A105" s="1"/>
      <c r="B105" s="1"/>
      <c r="C105" s="1"/>
      <c r="D105" s="1"/>
      <c r="E105" s="1"/>
      <c r="F105" s="1" t="s">
        <v>257</v>
      </c>
      <c r="G105" s="1"/>
      <c r="H105" s="1"/>
      <c r="I105" s="2"/>
      <c r="J105" s="109"/>
      <c r="K105" s="2"/>
      <c r="L105" s="109"/>
      <c r="M105" s="2"/>
      <c r="N105" s="109"/>
      <c r="O105" s="2"/>
      <c r="P105" s="109"/>
      <c r="Q105" s="2"/>
    </row>
    <row r="106" spans="1:17" ht="15.75" thickBot="1" x14ac:dyDescent="0.3">
      <c r="A106" s="1"/>
      <c r="B106" s="1"/>
      <c r="C106" s="1"/>
      <c r="D106" s="1"/>
      <c r="E106" s="1"/>
      <c r="F106" s="1"/>
      <c r="G106" s="1" t="s">
        <v>258</v>
      </c>
      <c r="H106" s="1"/>
      <c r="I106" s="110">
        <v>0</v>
      </c>
      <c r="J106" s="109"/>
      <c r="K106" s="110">
        <v>200</v>
      </c>
      <c r="L106" s="109"/>
      <c r="M106" s="110">
        <v>0</v>
      </c>
      <c r="N106" s="109"/>
      <c r="O106" s="110">
        <v>850</v>
      </c>
      <c r="P106" s="109"/>
      <c r="Q106" s="110">
        <v>850</v>
      </c>
    </row>
    <row r="107" spans="1:17" x14ac:dyDescent="0.25">
      <c r="A107" s="1"/>
      <c r="B107" s="1"/>
      <c r="C107" s="1"/>
      <c r="D107" s="1"/>
      <c r="E107" s="1"/>
      <c r="F107" s="1" t="s">
        <v>259</v>
      </c>
      <c r="G107" s="1"/>
      <c r="H107" s="1"/>
      <c r="I107" s="2">
        <f>ROUND(SUM(I105:I106),5)</f>
        <v>0</v>
      </c>
      <c r="J107" s="109"/>
      <c r="K107" s="2">
        <f>ROUND(SUM(K105:K106),5)</f>
        <v>200</v>
      </c>
      <c r="L107" s="109"/>
      <c r="M107" s="2">
        <f>ROUND(SUM(M105:M106),5)</f>
        <v>0</v>
      </c>
      <c r="N107" s="109"/>
      <c r="O107" s="2">
        <f>ROUND(SUM(O105:O106),5)</f>
        <v>850</v>
      </c>
      <c r="P107" s="109"/>
      <c r="Q107" s="2">
        <f>ROUND(SUM(Q105:Q106),5)</f>
        <v>850</v>
      </c>
    </row>
    <row r="108" spans="1:17" x14ac:dyDescent="0.25">
      <c r="A108" s="1"/>
      <c r="B108" s="1"/>
      <c r="C108" s="1"/>
      <c r="D108" s="1"/>
      <c r="E108" s="1"/>
      <c r="F108" s="1" t="s">
        <v>260</v>
      </c>
      <c r="G108" s="1"/>
      <c r="H108" s="1"/>
      <c r="I108" s="2"/>
      <c r="J108" s="109"/>
      <c r="K108" s="2"/>
      <c r="L108" s="109"/>
      <c r="M108" s="2"/>
      <c r="N108" s="109"/>
      <c r="O108" s="2"/>
      <c r="P108" s="109"/>
      <c r="Q108" s="2"/>
    </row>
    <row r="109" spans="1:17" ht="15.75" thickBot="1" x14ac:dyDescent="0.3">
      <c r="A109" s="1"/>
      <c r="B109" s="1"/>
      <c r="C109" s="1"/>
      <c r="D109" s="1"/>
      <c r="E109" s="1"/>
      <c r="F109" s="1"/>
      <c r="G109" s="1" t="s">
        <v>261</v>
      </c>
      <c r="H109" s="1"/>
      <c r="I109" s="110">
        <v>0</v>
      </c>
      <c r="J109" s="109"/>
      <c r="K109" s="110">
        <v>50</v>
      </c>
      <c r="L109" s="109"/>
      <c r="M109" s="110">
        <v>0</v>
      </c>
      <c r="N109" s="109"/>
      <c r="O109" s="110">
        <v>200</v>
      </c>
      <c r="P109" s="109"/>
      <c r="Q109" s="110">
        <v>200</v>
      </c>
    </row>
    <row r="110" spans="1:17" x14ac:dyDescent="0.25">
      <c r="A110" s="1"/>
      <c r="B110" s="1"/>
      <c r="C110" s="1"/>
      <c r="D110" s="1"/>
      <c r="E110" s="1"/>
      <c r="F110" s="1" t="s">
        <v>262</v>
      </c>
      <c r="G110" s="1"/>
      <c r="H110" s="1"/>
      <c r="I110" s="2">
        <f>ROUND(SUM(I108:I109),5)</f>
        <v>0</v>
      </c>
      <c r="J110" s="109"/>
      <c r="K110" s="2">
        <f>ROUND(SUM(K108:K109),5)</f>
        <v>50</v>
      </c>
      <c r="L110" s="109"/>
      <c r="M110" s="2">
        <f>ROUND(SUM(M108:M109),5)</f>
        <v>0</v>
      </c>
      <c r="N110" s="109"/>
      <c r="O110" s="2">
        <f>ROUND(SUM(O108:O109),5)</f>
        <v>200</v>
      </c>
      <c r="P110" s="109"/>
      <c r="Q110" s="2">
        <f>ROUND(SUM(Q108:Q109),5)</f>
        <v>200</v>
      </c>
    </row>
    <row r="111" spans="1:17" x14ac:dyDescent="0.25">
      <c r="A111" s="1"/>
      <c r="B111" s="1"/>
      <c r="C111" s="1"/>
      <c r="D111" s="1"/>
      <c r="E111" s="1"/>
      <c r="F111" s="1" t="s">
        <v>263</v>
      </c>
      <c r="G111" s="1"/>
      <c r="H111" s="1"/>
      <c r="I111" s="2"/>
      <c r="J111" s="109"/>
      <c r="K111" s="2"/>
      <c r="L111" s="109"/>
      <c r="M111" s="2"/>
      <c r="N111" s="109"/>
      <c r="O111" s="2"/>
      <c r="P111" s="109"/>
      <c r="Q111" s="2"/>
    </row>
    <row r="112" spans="1:17" x14ac:dyDescent="0.25">
      <c r="A112" s="1"/>
      <c r="B112" s="1"/>
      <c r="C112" s="1"/>
      <c r="D112" s="1"/>
      <c r="E112" s="1"/>
      <c r="F112" s="1"/>
      <c r="G112" s="1" t="s">
        <v>264</v>
      </c>
      <c r="H112" s="1"/>
      <c r="I112" s="2"/>
      <c r="J112" s="109"/>
      <c r="K112" s="2"/>
      <c r="L112" s="109"/>
      <c r="M112" s="2"/>
      <c r="N112" s="109"/>
      <c r="O112" s="2"/>
      <c r="P112" s="109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 t="s">
        <v>265</v>
      </c>
      <c r="I113" s="2">
        <v>200</v>
      </c>
      <c r="J113" s="109"/>
      <c r="K113" s="2">
        <v>0</v>
      </c>
      <c r="L113" s="109"/>
      <c r="M113" s="2">
        <v>200</v>
      </c>
      <c r="N113" s="109"/>
      <c r="O113" s="2">
        <v>150</v>
      </c>
      <c r="P113" s="109"/>
      <c r="Q113" s="2">
        <v>150</v>
      </c>
    </row>
    <row r="114" spans="1:17" x14ac:dyDescent="0.25">
      <c r="A114" s="1"/>
      <c r="B114" s="1"/>
      <c r="C114" s="1"/>
      <c r="D114" s="1"/>
      <c r="E114" s="1"/>
      <c r="F114" s="1"/>
      <c r="G114" s="1"/>
      <c r="H114" s="1" t="s">
        <v>266</v>
      </c>
      <c r="I114" s="2">
        <v>0</v>
      </c>
      <c r="J114" s="109"/>
      <c r="K114" s="2">
        <v>0</v>
      </c>
      <c r="L114" s="109"/>
      <c r="M114" s="2">
        <v>1000</v>
      </c>
      <c r="N114" s="109"/>
      <c r="O114" s="2">
        <v>1000</v>
      </c>
      <c r="P114" s="109"/>
      <c r="Q114" s="2">
        <v>1000</v>
      </c>
    </row>
    <row r="115" spans="1:17" x14ac:dyDescent="0.25">
      <c r="A115" s="1"/>
      <c r="B115" s="1"/>
      <c r="C115" s="1"/>
      <c r="D115" s="1"/>
      <c r="E115" s="1"/>
      <c r="F115" s="1"/>
      <c r="G115" s="1"/>
      <c r="H115" s="1" t="s">
        <v>267</v>
      </c>
      <c r="I115" s="2">
        <v>0</v>
      </c>
      <c r="J115" s="109"/>
      <c r="K115" s="2">
        <v>0</v>
      </c>
      <c r="L115" s="109"/>
      <c r="M115" s="2">
        <v>0</v>
      </c>
      <c r="N115" s="109"/>
      <c r="O115" s="2">
        <v>2000</v>
      </c>
      <c r="P115" s="109"/>
      <c r="Q115" s="2">
        <v>2000</v>
      </c>
    </row>
    <row r="116" spans="1:17" x14ac:dyDescent="0.25">
      <c r="A116" s="1"/>
      <c r="B116" s="1"/>
      <c r="C116" s="1"/>
      <c r="D116" s="1"/>
      <c r="E116" s="1"/>
      <c r="F116" s="1"/>
      <c r="G116" s="1"/>
      <c r="H116" s="1" t="s">
        <v>268</v>
      </c>
      <c r="I116" s="2">
        <v>0</v>
      </c>
      <c r="J116" s="109"/>
      <c r="K116" s="2">
        <v>0</v>
      </c>
      <c r="L116" s="109"/>
      <c r="M116" s="2">
        <v>1500</v>
      </c>
      <c r="N116" s="109"/>
      <c r="O116" s="2">
        <v>1500</v>
      </c>
      <c r="P116" s="109"/>
      <c r="Q116" s="2">
        <v>1500</v>
      </c>
    </row>
    <row r="117" spans="1:17" ht="15.75" thickBot="1" x14ac:dyDescent="0.3">
      <c r="A117" s="1"/>
      <c r="B117" s="1"/>
      <c r="C117" s="1"/>
      <c r="D117" s="1"/>
      <c r="E117" s="1"/>
      <c r="F117" s="1"/>
      <c r="G117" s="1"/>
      <c r="H117" s="1" t="s">
        <v>269</v>
      </c>
      <c r="I117" s="111">
        <v>0</v>
      </c>
      <c r="J117" s="109"/>
      <c r="K117" s="111">
        <v>0</v>
      </c>
      <c r="L117" s="109"/>
      <c r="M117" s="111">
        <v>0</v>
      </c>
      <c r="N117" s="109"/>
      <c r="O117" s="111">
        <v>50</v>
      </c>
      <c r="P117" s="109"/>
      <c r="Q117" s="111">
        <v>50</v>
      </c>
    </row>
    <row r="118" spans="1:17" ht="15.75" thickBot="1" x14ac:dyDescent="0.3">
      <c r="A118" s="1"/>
      <c r="B118" s="1"/>
      <c r="C118" s="1"/>
      <c r="D118" s="1"/>
      <c r="E118" s="1"/>
      <c r="F118" s="1"/>
      <c r="G118" s="1" t="s">
        <v>270</v>
      </c>
      <c r="H118" s="1"/>
      <c r="I118" s="113">
        <f>ROUND(SUM(I112:I117),5)</f>
        <v>200</v>
      </c>
      <c r="J118" s="109"/>
      <c r="K118" s="113">
        <f>ROUND(SUM(K112:K117),5)</f>
        <v>0</v>
      </c>
      <c r="L118" s="109"/>
      <c r="M118" s="113">
        <f>ROUND(SUM(M112:M117),5)</f>
        <v>2700</v>
      </c>
      <c r="N118" s="109"/>
      <c r="O118" s="113">
        <f>ROUND(SUM(O112:O117),5)</f>
        <v>4700</v>
      </c>
      <c r="P118" s="109"/>
      <c r="Q118" s="113">
        <f>ROUND(SUM(Q112:Q117),5)</f>
        <v>4700</v>
      </c>
    </row>
    <row r="119" spans="1:17" ht="15.75" thickBot="1" x14ac:dyDescent="0.3">
      <c r="A119" s="1"/>
      <c r="B119" s="1"/>
      <c r="C119" s="1"/>
      <c r="D119" s="1"/>
      <c r="E119" s="1"/>
      <c r="F119" s="1" t="s">
        <v>271</v>
      </c>
      <c r="G119" s="1"/>
      <c r="H119" s="1"/>
      <c r="I119" s="113">
        <f>ROUND(I111+I118,5)</f>
        <v>200</v>
      </c>
      <c r="J119" s="109"/>
      <c r="K119" s="113">
        <f>ROUND(K111+K118,5)</f>
        <v>0</v>
      </c>
      <c r="L119" s="109"/>
      <c r="M119" s="113">
        <f>ROUND(M111+M118,5)</f>
        <v>2700</v>
      </c>
      <c r="N119" s="109"/>
      <c r="O119" s="113">
        <f>ROUND(O111+O118,5)</f>
        <v>4700</v>
      </c>
      <c r="P119" s="109"/>
      <c r="Q119" s="113">
        <f>ROUND(Q111+Q118,5)</f>
        <v>4700</v>
      </c>
    </row>
    <row r="120" spans="1:17" ht="15.75" thickBot="1" x14ac:dyDescent="0.3">
      <c r="A120" s="1"/>
      <c r="B120" s="1"/>
      <c r="C120" s="1"/>
      <c r="D120" s="1"/>
      <c r="E120" s="1" t="s">
        <v>272</v>
      </c>
      <c r="F120" s="1"/>
      <c r="G120" s="1"/>
      <c r="H120" s="1"/>
      <c r="I120" s="112">
        <f>ROUND(I98+I101+I104+I107+I110+I119,5)</f>
        <v>200</v>
      </c>
      <c r="J120" s="109"/>
      <c r="K120" s="112">
        <f>ROUND(K98+K101+K104+K107+K110+K119,5)</f>
        <v>250</v>
      </c>
      <c r="L120" s="109"/>
      <c r="M120" s="112">
        <f>ROUND(M98+M101+M104+M107+M110+M119,5)</f>
        <v>15700</v>
      </c>
      <c r="N120" s="109"/>
      <c r="O120" s="112">
        <f>ROUND(O98+O101+O104+O107+O110+O119,5)</f>
        <v>17250</v>
      </c>
      <c r="P120" s="109"/>
      <c r="Q120" s="112">
        <f>ROUND(Q98+Q101+Q104+Q107+Q110+Q119,5)</f>
        <v>17250</v>
      </c>
    </row>
    <row r="121" spans="1:17" x14ac:dyDescent="0.25">
      <c r="A121" s="1"/>
      <c r="B121" s="1"/>
      <c r="C121" s="1"/>
      <c r="D121" s="1" t="s">
        <v>273</v>
      </c>
      <c r="E121" s="1"/>
      <c r="F121" s="1"/>
      <c r="G121" s="1"/>
      <c r="H121" s="1"/>
      <c r="I121" s="2">
        <f>ROUND(I36+I50+I67+I71+I97+I120,5)</f>
        <v>5174.3599999999997</v>
      </c>
      <c r="J121" s="109"/>
      <c r="K121" s="2">
        <f>ROUND(K36+K50+K67+K71+K97+K120,5)</f>
        <v>7800</v>
      </c>
      <c r="L121" s="109"/>
      <c r="M121" s="2">
        <f>ROUND(M36+M50+M67+M71+M97+M120,5)</f>
        <v>46140.44</v>
      </c>
      <c r="N121" s="109"/>
      <c r="O121" s="2">
        <f>ROUND(O36+O50+O67+O71+O97+O120,5)</f>
        <v>65394</v>
      </c>
      <c r="P121" s="109"/>
      <c r="Q121" s="2">
        <f>ROUND(Q36+Q50+Q67+Q71+Q97+Q120,5)</f>
        <v>65394</v>
      </c>
    </row>
    <row r="122" spans="1:17" x14ac:dyDescent="0.25">
      <c r="A122" s="1"/>
      <c r="B122" s="1"/>
      <c r="C122" s="1"/>
      <c r="D122" s="1" t="s">
        <v>274</v>
      </c>
      <c r="E122" s="1"/>
      <c r="F122" s="1"/>
      <c r="G122" s="1"/>
      <c r="H122" s="1"/>
      <c r="I122" s="2"/>
      <c r="J122" s="109"/>
      <c r="K122" s="2"/>
      <c r="L122" s="109"/>
      <c r="M122" s="2"/>
      <c r="N122" s="109"/>
      <c r="O122" s="2"/>
      <c r="P122" s="109"/>
      <c r="Q122" s="2"/>
    </row>
    <row r="123" spans="1:17" x14ac:dyDescent="0.25">
      <c r="A123" s="1"/>
      <c r="B123" s="1"/>
      <c r="C123" s="1"/>
      <c r="D123" s="1"/>
      <c r="E123" s="1" t="s">
        <v>12</v>
      </c>
      <c r="F123" s="1"/>
      <c r="G123" s="1"/>
      <c r="H123" s="1"/>
      <c r="I123" s="2"/>
      <c r="J123" s="109"/>
      <c r="K123" s="2"/>
      <c r="L123" s="109"/>
      <c r="M123" s="2"/>
      <c r="N123" s="109"/>
      <c r="O123" s="2"/>
      <c r="P123" s="109"/>
      <c r="Q123" s="2"/>
    </row>
    <row r="124" spans="1:17" x14ac:dyDescent="0.25">
      <c r="A124" s="1"/>
      <c r="B124" s="1"/>
      <c r="C124" s="1"/>
      <c r="D124" s="1"/>
      <c r="E124" s="1"/>
      <c r="F124" s="1" t="s">
        <v>275</v>
      </c>
      <c r="G124" s="1"/>
      <c r="H124" s="1"/>
      <c r="I124" s="2">
        <v>22.96</v>
      </c>
      <c r="J124" s="109"/>
      <c r="K124" s="2">
        <v>400</v>
      </c>
      <c r="L124" s="109"/>
      <c r="M124" s="2">
        <v>1390.58</v>
      </c>
      <c r="N124" s="109"/>
      <c r="O124" s="2">
        <v>4200</v>
      </c>
      <c r="P124" s="109"/>
      <c r="Q124" s="2">
        <v>4200</v>
      </c>
    </row>
    <row r="125" spans="1:17" x14ac:dyDescent="0.25">
      <c r="A125" s="1"/>
      <c r="B125" s="1"/>
      <c r="C125" s="1"/>
      <c r="D125" s="1"/>
      <c r="E125" s="1"/>
      <c r="F125" s="1" t="s">
        <v>276</v>
      </c>
      <c r="G125" s="1"/>
      <c r="H125" s="1"/>
      <c r="I125" s="2">
        <v>0</v>
      </c>
      <c r="J125" s="109"/>
      <c r="K125" s="2">
        <v>25</v>
      </c>
      <c r="L125" s="109"/>
      <c r="M125" s="2">
        <v>273.56</v>
      </c>
      <c r="N125" s="109"/>
      <c r="O125" s="2">
        <v>2300</v>
      </c>
      <c r="P125" s="109"/>
      <c r="Q125" s="2">
        <v>2300</v>
      </c>
    </row>
    <row r="126" spans="1:17" x14ac:dyDescent="0.25">
      <c r="A126" s="1"/>
      <c r="B126" s="1"/>
      <c r="C126" s="1"/>
      <c r="D126" s="1"/>
      <c r="E126" s="1"/>
      <c r="F126" s="1" t="s">
        <v>277</v>
      </c>
      <c r="G126" s="1"/>
      <c r="H126" s="1"/>
      <c r="I126" s="2">
        <v>361.03</v>
      </c>
      <c r="J126" s="109"/>
      <c r="K126" s="2">
        <v>2000</v>
      </c>
      <c r="L126" s="109"/>
      <c r="M126" s="2">
        <v>7785</v>
      </c>
      <c r="N126" s="109"/>
      <c r="O126" s="2">
        <v>10642</v>
      </c>
      <c r="P126" s="109"/>
      <c r="Q126" s="2">
        <v>10642</v>
      </c>
    </row>
    <row r="127" spans="1:17" x14ac:dyDescent="0.25">
      <c r="A127" s="1"/>
      <c r="B127" s="1"/>
      <c r="C127" s="1"/>
      <c r="D127" s="1"/>
      <c r="E127" s="1"/>
      <c r="F127" s="1" t="s">
        <v>278</v>
      </c>
      <c r="G127" s="1"/>
      <c r="H127" s="1"/>
      <c r="I127" s="2">
        <v>1572.07</v>
      </c>
      <c r="J127" s="109"/>
      <c r="K127" s="2">
        <v>1300</v>
      </c>
      <c r="L127" s="109"/>
      <c r="M127" s="2">
        <v>20890.53</v>
      </c>
      <c r="N127" s="109"/>
      <c r="O127" s="2">
        <v>21250</v>
      </c>
      <c r="P127" s="109"/>
      <c r="Q127" s="2">
        <v>21250</v>
      </c>
    </row>
    <row r="128" spans="1:17" x14ac:dyDescent="0.25">
      <c r="A128" s="1"/>
      <c r="B128" s="1"/>
      <c r="C128" s="1"/>
      <c r="D128" s="1"/>
      <c r="E128" s="1"/>
      <c r="F128" s="1" t="s">
        <v>279</v>
      </c>
      <c r="G128" s="1"/>
      <c r="H128" s="1"/>
      <c r="I128" s="2">
        <v>0</v>
      </c>
      <c r="J128" s="109"/>
      <c r="K128" s="2">
        <v>2000</v>
      </c>
      <c r="L128" s="109"/>
      <c r="M128" s="2">
        <v>5585</v>
      </c>
      <c r="N128" s="109"/>
      <c r="O128" s="2">
        <v>13000</v>
      </c>
      <c r="P128" s="109"/>
      <c r="Q128" s="2">
        <v>13000</v>
      </c>
    </row>
    <row r="129" spans="1:17" x14ac:dyDescent="0.25">
      <c r="A129" s="1"/>
      <c r="B129" s="1"/>
      <c r="C129" s="1"/>
      <c r="D129" s="1"/>
      <c r="E129" s="1"/>
      <c r="F129" s="1" t="s">
        <v>280</v>
      </c>
      <c r="G129" s="1"/>
      <c r="H129" s="1"/>
      <c r="I129" s="2">
        <f>9545.25+261.44</f>
        <v>9806.69</v>
      </c>
      <c r="J129" s="109"/>
      <c r="K129" s="2">
        <v>2620</v>
      </c>
      <c r="L129" s="109"/>
      <c r="M129" s="2">
        <f>9545.25+13075.48</f>
        <v>22620.73</v>
      </c>
      <c r="N129" s="109"/>
      <c r="O129" s="2">
        <v>12480</v>
      </c>
      <c r="P129" s="109"/>
      <c r="Q129" s="2">
        <v>12480</v>
      </c>
    </row>
    <row r="130" spans="1:17" x14ac:dyDescent="0.25">
      <c r="A130" s="1"/>
      <c r="B130" s="1"/>
      <c r="C130" s="1"/>
      <c r="D130" s="1"/>
      <c r="E130" s="1"/>
      <c r="F130" s="1" t="s">
        <v>281</v>
      </c>
      <c r="G130" s="1"/>
      <c r="H130" s="1"/>
      <c r="I130" s="2">
        <v>241.8</v>
      </c>
      <c r="J130" s="109"/>
      <c r="K130" s="2">
        <v>0</v>
      </c>
      <c r="L130" s="109"/>
      <c r="M130" s="2">
        <v>967.2</v>
      </c>
      <c r="N130" s="109"/>
      <c r="O130" s="2">
        <v>1300</v>
      </c>
      <c r="P130" s="109"/>
      <c r="Q130" s="2">
        <v>1300</v>
      </c>
    </row>
    <row r="131" spans="1:17" x14ac:dyDescent="0.25">
      <c r="A131" s="1"/>
      <c r="B131" s="1"/>
      <c r="C131" s="1"/>
      <c r="D131" s="1"/>
      <c r="E131" s="1"/>
      <c r="F131" s="1" t="s">
        <v>282</v>
      </c>
      <c r="G131" s="1"/>
      <c r="H131" s="1"/>
      <c r="I131" s="2">
        <v>502.98</v>
      </c>
      <c r="J131" s="109"/>
      <c r="K131" s="2">
        <v>876</v>
      </c>
      <c r="L131" s="109"/>
      <c r="M131" s="2">
        <v>5567.69</v>
      </c>
      <c r="N131" s="109"/>
      <c r="O131" s="2">
        <v>10446</v>
      </c>
      <c r="P131" s="109"/>
      <c r="Q131" s="2">
        <v>10446</v>
      </c>
    </row>
    <row r="132" spans="1:17" x14ac:dyDescent="0.25">
      <c r="A132" s="1"/>
      <c r="B132" s="1"/>
      <c r="C132" s="1"/>
      <c r="D132" s="1"/>
      <c r="E132" s="1"/>
      <c r="F132" s="1" t="s">
        <v>283</v>
      </c>
      <c r="G132" s="1"/>
      <c r="H132" s="1"/>
      <c r="I132" s="2">
        <v>67</v>
      </c>
      <c r="J132" s="109"/>
      <c r="K132" s="2">
        <v>0</v>
      </c>
      <c r="L132" s="109"/>
      <c r="M132" s="2">
        <v>737</v>
      </c>
      <c r="N132" s="109"/>
      <c r="O132" s="2">
        <v>510</v>
      </c>
      <c r="P132" s="109"/>
      <c r="Q132" s="2">
        <v>510</v>
      </c>
    </row>
    <row r="133" spans="1:17" x14ac:dyDescent="0.25">
      <c r="A133" s="1"/>
      <c r="B133" s="1"/>
      <c r="C133" s="1"/>
      <c r="D133" s="1"/>
      <c r="E133" s="1"/>
      <c r="F133" s="1" t="s">
        <v>284</v>
      </c>
      <c r="G133" s="1"/>
      <c r="H133" s="1"/>
      <c r="I133" s="2">
        <v>0</v>
      </c>
      <c r="J133" s="109"/>
      <c r="K133" s="2">
        <v>0</v>
      </c>
      <c r="L133" s="109"/>
      <c r="M133" s="2">
        <v>9647</v>
      </c>
      <c r="N133" s="109"/>
      <c r="O133" s="2">
        <v>10000</v>
      </c>
      <c r="P133" s="109"/>
      <c r="Q133" s="2">
        <v>10000</v>
      </c>
    </row>
    <row r="134" spans="1:17" x14ac:dyDescent="0.25">
      <c r="A134" s="1"/>
      <c r="B134" s="1"/>
      <c r="C134" s="1"/>
      <c r="D134" s="1"/>
      <c r="E134" s="1"/>
      <c r="F134" s="1" t="s">
        <v>285</v>
      </c>
      <c r="G134" s="1"/>
      <c r="H134" s="1"/>
      <c r="I134" s="2">
        <v>193.25</v>
      </c>
      <c r="J134" s="109"/>
      <c r="K134" s="2">
        <v>185</v>
      </c>
      <c r="L134" s="109"/>
      <c r="M134" s="2">
        <v>1821.1</v>
      </c>
      <c r="N134" s="109"/>
      <c r="O134" s="2">
        <v>2220</v>
      </c>
      <c r="P134" s="109"/>
      <c r="Q134" s="2">
        <v>2220</v>
      </c>
    </row>
    <row r="135" spans="1:17" x14ac:dyDescent="0.25">
      <c r="A135" s="1"/>
      <c r="B135" s="1"/>
      <c r="C135" s="1"/>
      <c r="D135" s="1"/>
      <c r="E135" s="1"/>
      <c r="F135" s="1" t="s">
        <v>286</v>
      </c>
      <c r="G135" s="1"/>
      <c r="H135" s="1"/>
      <c r="I135" s="2">
        <v>26</v>
      </c>
      <c r="J135" s="109"/>
      <c r="K135" s="2">
        <v>50</v>
      </c>
      <c r="L135" s="109"/>
      <c r="M135" s="2">
        <v>1910.94</v>
      </c>
      <c r="N135" s="109"/>
      <c r="O135" s="2">
        <v>1850</v>
      </c>
      <c r="P135" s="109"/>
      <c r="Q135" s="2">
        <v>1850</v>
      </c>
    </row>
    <row r="136" spans="1:17" ht="15.75" thickBot="1" x14ac:dyDescent="0.3">
      <c r="A136" s="1"/>
      <c r="B136" s="1"/>
      <c r="C136" s="1"/>
      <c r="D136" s="1"/>
      <c r="E136" s="1"/>
      <c r="F136" s="1" t="s">
        <v>287</v>
      </c>
      <c r="G136" s="1"/>
      <c r="H136" s="1"/>
      <c r="I136" s="110">
        <v>0</v>
      </c>
      <c r="J136" s="109"/>
      <c r="K136" s="110">
        <v>0</v>
      </c>
      <c r="L136" s="109"/>
      <c r="M136" s="110">
        <v>20</v>
      </c>
      <c r="N136" s="109"/>
      <c r="O136" s="110">
        <v>250</v>
      </c>
      <c r="P136" s="109"/>
      <c r="Q136" s="110">
        <v>250</v>
      </c>
    </row>
    <row r="137" spans="1:17" x14ac:dyDescent="0.25">
      <c r="A137" s="1"/>
      <c r="B137" s="1"/>
      <c r="C137" s="1"/>
      <c r="D137" s="1"/>
      <c r="E137" s="1" t="s">
        <v>288</v>
      </c>
      <c r="F137" s="1"/>
      <c r="G137" s="1"/>
      <c r="H137" s="1"/>
      <c r="I137" s="2">
        <f>ROUND(SUM(I123:I136),5)</f>
        <v>12793.78</v>
      </c>
      <c r="J137" s="109"/>
      <c r="K137" s="2">
        <f>ROUND(SUM(K123:K136),5)</f>
        <v>9456</v>
      </c>
      <c r="L137" s="109"/>
      <c r="M137" s="2">
        <f>ROUND(SUM(M123:M136),5)</f>
        <v>79216.33</v>
      </c>
      <c r="N137" s="109"/>
      <c r="O137" s="2">
        <f>ROUND(SUM(O123:O136),5)</f>
        <v>90448</v>
      </c>
      <c r="P137" s="109"/>
      <c r="Q137" s="2">
        <f>ROUND(SUM(Q123:Q136),5)</f>
        <v>90448</v>
      </c>
    </row>
    <row r="138" spans="1:17" x14ac:dyDescent="0.25">
      <c r="A138" s="1"/>
      <c r="B138" s="1"/>
      <c r="C138" s="1"/>
      <c r="D138" s="1"/>
      <c r="E138" s="1" t="s">
        <v>289</v>
      </c>
      <c r="F138" s="1"/>
      <c r="G138" s="1"/>
      <c r="H138" s="1"/>
      <c r="I138" s="2"/>
      <c r="J138" s="109"/>
      <c r="K138" s="2"/>
      <c r="L138" s="109"/>
      <c r="M138" s="2"/>
      <c r="N138" s="109"/>
      <c r="O138" s="2"/>
      <c r="P138" s="109"/>
      <c r="Q138" s="2"/>
    </row>
    <row r="139" spans="1:17" x14ac:dyDescent="0.25">
      <c r="A139" s="1"/>
      <c r="B139" s="1"/>
      <c r="C139" s="1"/>
      <c r="D139" s="1"/>
      <c r="E139" s="1"/>
      <c r="F139" s="1" t="s">
        <v>290</v>
      </c>
      <c r="G139" s="1"/>
      <c r="H139" s="1"/>
      <c r="I139" s="2">
        <v>916.5</v>
      </c>
      <c r="J139" s="109"/>
      <c r="K139" s="2">
        <v>4000</v>
      </c>
      <c r="L139" s="109"/>
      <c r="M139" s="2">
        <v>8961.75</v>
      </c>
      <c r="N139" s="109"/>
      <c r="O139" s="2">
        <v>8390</v>
      </c>
      <c r="P139" s="109"/>
      <c r="Q139" s="2">
        <v>8390</v>
      </c>
    </row>
    <row r="140" spans="1:17" x14ac:dyDescent="0.25">
      <c r="A140" s="1"/>
      <c r="B140" s="1"/>
      <c r="C140" s="1"/>
      <c r="D140" s="1"/>
      <c r="E140" s="1"/>
      <c r="F140" s="1" t="s">
        <v>291</v>
      </c>
      <c r="G140" s="1"/>
      <c r="H140" s="1"/>
      <c r="I140" s="2">
        <v>0</v>
      </c>
      <c r="J140" s="109"/>
      <c r="K140" s="2">
        <v>0</v>
      </c>
      <c r="L140" s="109"/>
      <c r="M140" s="2">
        <v>125</v>
      </c>
      <c r="N140" s="109"/>
      <c r="O140" s="2">
        <v>4000</v>
      </c>
      <c r="P140" s="109"/>
      <c r="Q140" s="2">
        <v>4000</v>
      </c>
    </row>
    <row r="141" spans="1:17" x14ac:dyDescent="0.25">
      <c r="A141" s="1"/>
      <c r="B141" s="1"/>
      <c r="C141" s="1"/>
      <c r="D141" s="1"/>
      <c r="E141" s="1"/>
      <c r="F141" s="1" t="s">
        <v>292</v>
      </c>
      <c r="G141" s="1"/>
      <c r="H141" s="1"/>
      <c r="I141" s="2">
        <v>6207</v>
      </c>
      <c r="J141" s="109"/>
      <c r="K141" s="2">
        <v>2800</v>
      </c>
      <c r="L141" s="109"/>
      <c r="M141" s="2">
        <v>14483.01</v>
      </c>
      <c r="N141" s="109"/>
      <c r="O141" s="2">
        <v>16800</v>
      </c>
      <c r="P141" s="109"/>
      <c r="Q141" s="2">
        <v>16800</v>
      </c>
    </row>
    <row r="142" spans="1:17" x14ac:dyDescent="0.25">
      <c r="A142" s="1"/>
      <c r="B142" s="1"/>
      <c r="C142" s="1"/>
      <c r="D142" s="1"/>
      <c r="E142" s="1"/>
      <c r="F142" s="1" t="s">
        <v>293</v>
      </c>
      <c r="G142" s="1"/>
      <c r="H142" s="1"/>
      <c r="I142" s="2">
        <v>0</v>
      </c>
      <c r="J142" s="109"/>
      <c r="K142" s="2">
        <v>0</v>
      </c>
      <c r="L142" s="109"/>
      <c r="M142" s="2">
        <v>0</v>
      </c>
      <c r="N142" s="109"/>
      <c r="O142" s="2">
        <v>2500</v>
      </c>
      <c r="P142" s="109"/>
      <c r="Q142" s="2">
        <v>2500</v>
      </c>
    </row>
    <row r="143" spans="1:17" x14ac:dyDescent="0.25">
      <c r="A143" s="1"/>
      <c r="B143" s="1"/>
      <c r="C143" s="1"/>
      <c r="D143" s="1"/>
      <c r="E143" s="1"/>
      <c r="F143" s="1" t="s">
        <v>294</v>
      </c>
      <c r="G143" s="1"/>
      <c r="H143" s="1"/>
      <c r="I143" s="2">
        <v>0</v>
      </c>
      <c r="J143" s="109"/>
      <c r="K143" s="2">
        <v>0</v>
      </c>
      <c r="L143" s="109"/>
      <c r="M143" s="2">
        <v>335</v>
      </c>
      <c r="N143" s="109"/>
      <c r="O143" s="2">
        <v>500</v>
      </c>
      <c r="P143" s="109"/>
      <c r="Q143" s="2">
        <v>500</v>
      </c>
    </row>
    <row r="144" spans="1:17" ht="15.75" thickBot="1" x14ac:dyDescent="0.3">
      <c r="A144" s="1"/>
      <c r="B144" s="1"/>
      <c r="C144" s="1"/>
      <c r="D144" s="1"/>
      <c r="E144" s="1"/>
      <c r="F144" s="1" t="s">
        <v>295</v>
      </c>
      <c r="G144" s="1"/>
      <c r="H144" s="1"/>
      <c r="I144" s="110">
        <v>160</v>
      </c>
      <c r="J144" s="109"/>
      <c r="K144" s="110">
        <v>0</v>
      </c>
      <c r="L144" s="109"/>
      <c r="M144" s="110">
        <v>680</v>
      </c>
      <c r="N144" s="109"/>
      <c r="O144" s="110">
        <v>500</v>
      </c>
      <c r="P144" s="109"/>
      <c r="Q144" s="110">
        <v>500</v>
      </c>
    </row>
    <row r="145" spans="1:17" x14ac:dyDescent="0.25">
      <c r="A145" s="1"/>
      <c r="B145" s="1"/>
      <c r="C145" s="1"/>
      <c r="D145" s="1"/>
      <c r="E145" s="1" t="s">
        <v>296</v>
      </c>
      <c r="F145" s="1"/>
      <c r="G145" s="1"/>
      <c r="H145" s="1"/>
      <c r="I145" s="2">
        <f>ROUND(SUM(I138:I144),5)</f>
        <v>7283.5</v>
      </c>
      <c r="J145" s="109"/>
      <c r="K145" s="2">
        <f>ROUND(SUM(K138:K144),5)</f>
        <v>6800</v>
      </c>
      <c r="L145" s="109"/>
      <c r="M145" s="2">
        <f>ROUND(SUM(M138:M144),5)</f>
        <v>24584.76</v>
      </c>
      <c r="N145" s="109"/>
      <c r="O145" s="2">
        <f>ROUND(SUM(O138:O144),5)</f>
        <v>32690</v>
      </c>
      <c r="P145" s="109"/>
      <c r="Q145" s="2">
        <f>ROUND(SUM(Q138:Q144),5)</f>
        <v>32690</v>
      </c>
    </row>
    <row r="146" spans="1:17" x14ac:dyDescent="0.25">
      <c r="A146" s="1"/>
      <c r="B146" s="1"/>
      <c r="C146" s="1"/>
      <c r="D146" s="1"/>
      <c r="E146" s="1" t="s">
        <v>13</v>
      </c>
      <c r="F146" s="1"/>
      <c r="G146" s="1"/>
      <c r="H146" s="1"/>
      <c r="I146" s="2"/>
      <c r="J146" s="109"/>
      <c r="K146" s="2"/>
      <c r="L146" s="109"/>
      <c r="M146" s="2"/>
      <c r="N146" s="109"/>
      <c r="O146" s="2"/>
      <c r="P146" s="109"/>
      <c r="Q146" s="2"/>
    </row>
    <row r="147" spans="1:17" x14ac:dyDescent="0.25">
      <c r="A147" s="1"/>
      <c r="B147" s="1"/>
      <c r="C147" s="1"/>
      <c r="D147" s="1"/>
      <c r="E147" s="1"/>
      <c r="F147" s="1" t="s">
        <v>297</v>
      </c>
      <c r="G147" s="1"/>
      <c r="H147" s="1"/>
      <c r="I147" s="2">
        <v>0</v>
      </c>
      <c r="J147" s="109"/>
      <c r="K147" s="2">
        <v>800</v>
      </c>
      <c r="L147" s="109"/>
      <c r="M147" s="2">
        <v>4735.8</v>
      </c>
      <c r="N147" s="109"/>
      <c r="O147" s="2">
        <v>4200</v>
      </c>
      <c r="P147" s="109"/>
      <c r="Q147" s="2">
        <v>4200</v>
      </c>
    </row>
    <row r="148" spans="1:17" x14ac:dyDescent="0.25">
      <c r="A148" s="1"/>
      <c r="B148" s="1"/>
      <c r="C148" s="1"/>
      <c r="D148" s="1"/>
      <c r="E148" s="1"/>
      <c r="F148" s="1" t="s">
        <v>298</v>
      </c>
      <c r="G148" s="1"/>
      <c r="H148" s="1"/>
      <c r="I148" s="2">
        <v>1503.44</v>
      </c>
      <c r="J148" s="109"/>
      <c r="K148" s="2">
        <v>6170</v>
      </c>
      <c r="L148" s="109"/>
      <c r="M148" s="2">
        <v>13665.64</v>
      </c>
      <c r="N148" s="109"/>
      <c r="O148" s="2">
        <v>18328</v>
      </c>
      <c r="P148" s="109"/>
      <c r="Q148" s="2">
        <v>18328</v>
      </c>
    </row>
    <row r="149" spans="1:17" x14ac:dyDescent="0.25">
      <c r="A149" s="1"/>
      <c r="B149" s="1"/>
      <c r="C149" s="1"/>
      <c r="D149" s="1"/>
      <c r="E149" s="1"/>
      <c r="F149" s="1" t="s">
        <v>299</v>
      </c>
      <c r="G149" s="1"/>
      <c r="H149" s="1"/>
      <c r="I149" s="2">
        <v>10.8</v>
      </c>
      <c r="J149" s="109"/>
      <c r="K149" s="2">
        <v>150</v>
      </c>
      <c r="L149" s="109"/>
      <c r="M149" s="2">
        <v>1235.67</v>
      </c>
      <c r="N149" s="109"/>
      <c r="O149" s="2">
        <v>2000</v>
      </c>
      <c r="P149" s="109"/>
      <c r="Q149" s="2">
        <v>2000</v>
      </c>
    </row>
    <row r="150" spans="1:17" x14ac:dyDescent="0.25">
      <c r="A150" s="1"/>
      <c r="B150" s="1"/>
      <c r="C150" s="1"/>
      <c r="D150" s="1"/>
      <c r="E150" s="1"/>
      <c r="F150" s="1" t="s">
        <v>300</v>
      </c>
      <c r="G150" s="1"/>
      <c r="H150" s="1"/>
      <c r="I150" s="2">
        <v>0</v>
      </c>
      <c r="J150" s="109"/>
      <c r="K150" s="2">
        <v>0</v>
      </c>
      <c r="L150" s="109"/>
      <c r="M150" s="2">
        <v>539</v>
      </c>
      <c r="N150" s="109"/>
      <c r="O150" s="2">
        <v>490</v>
      </c>
      <c r="P150" s="109"/>
      <c r="Q150" s="2">
        <v>490</v>
      </c>
    </row>
    <row r="151" spans="1:17" x14ac:dyDescent="0.25">
      <c r="A151" s="1"/>
      <c r="B151" s="1"/>
      <c r="C151" s="1"/>
      <c r="D151" s="1"/>
      <c r="E151" s="1"/>
      <c r="F151" s="1" t="s">
        <v>301</v>
      </c>
      <c r="G151" s="1"/>
      <c r="H151" s="1"/>
      <c r="I151" s="2">
        <v>671.53</v>
      </c>
      <c r="J151" s="109"/>
      <c r="K151" s="2">
        <v>450</v>
      </c>
      <c r="L151" s="109"/>
      <c r="M151" s="2">
        <v>2806.39</v>
      </c>
      <c r="N151" s="109"/>
      <c r="O151" s="2">
        <v>5400</v>
      </c>
      <c r="P151" s="109"/>
      <c r="Q151" s="2">
        <v>5400</v>
      </c>
    </row>
    <row r="152" spans="1:17" x14ac:dyDescent="0.25">
      <c r="A152" s="1"/>
      <c r="B152" s="1"/>
      <c r="C152" s="1"/>
      <c r="D152" s="1"/>
      <c r="E152" s="1"/>
      <c r="F152" s="1" t="s">
        <v>302</v>
      </c>
      <c r="G152" s="1"/>
      <c r="H152" s="1"/>
      <c r="I152" s="2">
        <v>415</v>
      </c>
      <c r="J152" s="109"/>
      <c r="K152" s="2">
        <v>415</v>
      </c>
      <c r="L152" s="109"/>
      <c r="M152" s="2">
        <v>4980</v>
      </c>
      <c r="N152" s="109"/>
      <c r="O152" s="2">
        <v>4980</v>
      </c>
      <c r="P152" s="109"/>
      <c r="Q152" s="2">
        <v>4980</v>
      </c>
    </row>
    <row r="153" spans="1:17" x14ac:dyDescent="0.25">
      <c r="A153" s="1"/>
      <c r="B153" s="1"/>
      <c r="C153" s="1"/>
      <c r="D153" s="1"/>
      <c r="E153" s="1"/>
      <c r="F153" s="1" t="s">
        <v>303</v>
      </c>
      <c r="G153" s="1"/>
      <c r="H153" s="1"/>
      <c r="I153" s="2">
        <v>0</v>
      </c>
      <c r="J153" s="109"/>
      <c r="K153" s="2">
        <v>2000</v>
      </c>
      <c r="L153" s="109"/>
      <c r="M153" s="2">
        <v>17136</v>
      </c>
      <c r="N153" s="109"/>
      <c r="O153" s="2">
        <v>8000</v>
      </c>
      <c r="P153" s="109"/>
      <c r="Q153" s="2">
        <v>8000</v>
      </c>
    </row>
    <row r="154" spans="1:17" x14ac:dyDescent="0.25">
      <c r="A154" s="1"/>
      <c r="B154" s="1"/>
      <c r="C154" s="1"/>
      <c r="D154" s="1"/>
      <c r="E154" s="1"/>
      <c r="F154" s="1" t="s">
        <v>304</v>
      </c>
      <c r="G154" s="1"/>
      <c r="H154" s="1"/>
      <c r="I154" s="2">
        <v>0</v>
      </c>
      <c r="J154" s="109"/>
      <c r="K154" s="2">
        <v>0</v>
      </c>
      <c r="L154" s="109"/>
      <c r="M154" s="2">
        <v>180</v>
      </c>
      <c r="N154" s="109"/>
      <c r="O154" s="2">
        <v>180</v>
      </c>
      <c r="P154" s="109"/>
      <c r="Q154" s="2">
        <v>180</v>
      </c>
    </row>
    <row r="155" spans="1:17" x14ac:dyDescent="0.25">
      <c r="A155" s="1"/>
      <c r="B155" s="1"/>
      <c r="C155" s="1"/>
      <c r="D155" s="1"/>
      <c r="E155" s="1"/>
      <c r="F155" s="1" t="s">
        <v>305</v>
      </c>
      <c r="G155" s="1"/>
      <c r="H155" s="1"/>
      <c r="I155" s="2">
        <v>0</v>
      </c>
      <c r="J155" s="109"/>
      <c r="K155" s="2">
        <v>0</v>
      </c>
      <c r="L155" s="109"/>
      <c r="M155" s="2">
        <v>6932.5</v>
      </c>
      <c r="N155" s="109"/>
      <c r="O155" s="2">
        <v>1500</v>
      </c>
      <c r="P155" s="109"/>
      <c r="Q155" s="2">
        <v>1500</v>
      </c>
    </row>
    <row r="156" spans="1:17" x14ac:dyDescent="0.25">
      <c r="A156" s="1"/>
      <c r="B156" s="1"/>
      <c r="C156" s="1"/>
      <c r="D156" s="1"/>
      <c r="E156" s="1"/>
      <c r="F156" s="1" t="s">
        <v>306</v>
      </c>
      <c r="G156" s="1"/>
      <c r="H156" s="1"/>
      <c r="I156" s="2">
        <v>268</v>
      </c>
      <c r="J156" s="109"/>
      <c r="K156" s="2">
        <v>125</v>
      </c>
      <c r="L156" s="109"/>
      <c r="M156" s="2">
        <v>2485.5</v>
      </c>
      <c r="N156" s="109"/>
      <c r="O156" s="2">
        <v>1500</v>
      </c>
      <c r="P156" s="109"/>
      <c r="Q156" s="2">
        <v>1500</v>
      </c>
    </row>
    <row r="157" spans="1:17" ht="15.75" thickBot="1" x14ac:dyDescent="0.3">
      <c r="A157" s="1"/>
      <c r="B157" s="1"/>
      <c r="C157" s="1"/>
      <c r="D157" s="1"/>
      <c r="E157" s="1"/>
      <c r="F157" s="1" t="s">
        <v>307</v>
      </c>
      <c r="G157" s="1"/>
      <c r="H157" s="1"/>
      <c r="I157" s="110">
        <v>0</v>
      </c>
      <c r="J157" s="109"/>
      <c r="K157" s="110">
        <v>1000</v>
      </c>
      <c r="L157" s="109"/>
      <c r="M157" s="110">
        <v>428.52</v>
      </c>
      <c r="N157" s="109"/>
      <c r="O157" s="110">
        <v>2250</v>
      </c>
      <c r="P157" s="109"/>
      <c r="Q157" s="110">
        <v>2250</v>
      </c>
    </row>
    <row r="158" spans="1:17" x14ac:dyDescent="0.25">
      <c r="A158" s="1"/>
      <c r="B158" s="1"/>
      <c r="C158" s="1"/>
      <c r="D158" s="1"/>
      <c r="E158" s="1" t="s">
        <v>308</v>
      </c>
      <c r="F158" s="1"/>
      <c r="G158" s="1"/>
      <c r="H158" s="1"/>
      <c r="I158" s="2">
        <f>ROUND(SUM(I146:I157),5)</f>
        <v>2868.77</v>
      </c>
      <c r="J158" s="109"/>
      <c r="K158" s="2">
        <f>ROUND(SUM(K146:K157),5)</f>
        <v>11110</v>
      </c>
      <c r="L158" s="109"/>
      <c r="M158" s="2">
        <f>ROUND(SUM(M146:M157),5)</f>
        <v>55125.02</v>
      </c>
      <c r="N158" s="109"/>
      <c r="O158" s="2">
        <f>ROUND(SUM(O146:O157),5)</f>
        <v>48828</v>
      </c>
      <c r="P158" s="109"/>
      <c r="Q158" s="2">
        <f>ROUND(SUM(Q146:Q157),5)</f>
        <v>48828</v>
      </c>
    </row>
    <row r="159" spans="1:17" x14ac:dyDescent="0.25">
      <c r="A159" s="1"/>
      <c r="B159" s="1"/>
      <c r="C159" s="1"/>
      <c r="D159" s="1"/>
      <c r="E159" s="1" t="s">
        <v>14</v>
      </c>
      <c r="F159" s="1"/>
      <c r="G159" s="1"/>
      <c r="H159" s="1"/>
      <c r="I159" s="2"/>
      <c r="J159" s="109"/>
      <c r="K159" s="2"/>
      <c r="L159" s="109"/>
      <c r="M159" s="2"/>
      <c r="N159" s="109"/>
      <c r="O159" s="2"/>
      <c r="P159" s="109"/>
      <c r="Q159" s="2"/>
    </row>
    <row r="160" spans="1:17" ht="15.75" thickBot="1" x14ac:dyDescent="0.3">
      <c r="A160" s="1"/>
      <c r="B160" s="1"/>
      <c r="C160" s="1"/>
      <c r="D160" s="1"/>
      <c r="E160" s="1"/>
      <c r="F160" s="1" t="s">
        <v>309</v>
      </c>
      <c r="G160" s="1"/>
      <c r="H160" s="1"/>
      <c r="I160" s="110">
        <v>9901.8799999999992</v>
      </c>
      <c r="J160" s="109"/>
      <c r="K160" s="110">
        <v>9402</v>
      </c>
      <c r="L160" s="109"/>
      <c r="M160" s="110">
        <v>113322.56</v>
      </c>
      <c r="N160" s="109"/>
      <c r="O160" s="110">
        <v>112822</v>
      </c>
      <c r="P160" s="109"/>
      <c r="Q160" s="110">
        <v>112822</v>
      </c>
    </row>
    <row r="161" spans="1:17" x14ac:dyDescent="0.25">
      <c r="A161" s="1"/>
      <c r="B161" s="1"/>
      <c r="C161" s="1"/>
      <c r="D161" s="1"/>
      <c r="E161" s="1" t="s">
        <v>310</v>
      </c>
      <c r="F161" s="1"/>
      <c r="G161" s="1"/>
      <c r="H161" s="1"/>
      <c r="I161" s="2">
        <f>ROUND(SUM(I159:I160),5)</f>
        <v>9901.8799999999992</v>
      </c>
      <c r="J161" s="109"/>
      <c r="K161" s="2">
        <f>ROUND(SUM(K159:K160),5)</f>
        <v>9402</v>
      </c>
      <c r="L161" s="109"/>
      <c r="M161" s="2">
        <f>ROUND(SUM(M159:M160),5)</f>
        <v>113322.56</v>
      </c>
      <c r="N161" s="109"/>
      <c r="O161" s="2">
        <f>ROUND(SUM(O159:O160),5)</f>
        <v>112822</v>
      </c>
      <c r="P161" s="109"/>
      <c r="Q161" s="2">
        <f>ROUND(SUM(Q159:Q160),5)</f>
        <v>112822</v>
      </c>
    </row>
    <row r="162" spans="1:17" x14ac:dyDescent="0.25">
      <c r="A162" s="1"/>
      <c r="B162" s="1"/>
      <c r="C162" s="1"/>
      <c r="D162" s="1"/>
      <c r="E162" s="1" t="s">
        <v>15</v>
      </c>
      <c r="F162" s="1"/>
      <c r="G162" s="1"/>
      <c r="H162" s="1"/>
      <c r="I162" s="2"/>
      <c r="J162" s="109"/>
      <c r="K162" s="2"/>
      <c r="L162" s="109"/>
      <c r="M162" s="2"/>
      <c r="N162" s="109"/>
      <c r="O162" s="2"/>
      <c r="P162" s="109"/>
      <c r="Q162" s="2"/>
    </row>
    <row r="163" spans="1:17" x14ac:dyDescent="0.25">
      <c r="A163" s="1"/>
      <c r="B163" s="1"/>
      <c r="C163" s="1"/>
      <c r="D163" s="1"/>
      <c r="E163" s="1"/>
      <c r="F163" s="1" t="s">
        <v>311</v>
      </c>
      <c r="G163" s="1"/>
      <c r="H163" s="1"/>
      <c r="I163" s="2">
        <v>1155.28</v>
      </c>
      <c r="J163" s="109"/>
      <c r="K163" s="2">
        <v>1050</v>
      </c>
      <c r="L163" s="109"/>
      <c r="M163" s="2">
        <v>12996.72</v>
      </c>
      <c r="N163" s="109"/>
      <c r="O163" s="2">
        <v>13700</v>
      </c>
      <c r="P163" s="109"/>
      <c r="Q163" s="2">
        <v>13700</v>
      </c>
    </row>
    <row r="164" spans="1:17" ht="15.75" thickBot="1" x14ac:dyDescent="0.3">
      <c r="A164" s="1"/>
      <c r="B164" s="1"/>
      <c r="C164" s="1"/>
      <c r="D164" s="1"/>
      <c r="E164" s="1"/>
      <c r="F164" s="1" t="s">
        <v>312</v>
      </c>
      <c r="G164" s="1"/>
      <c r="H164" s="1"/>
      <c r="I164" s="110">
        <v>1001.78</v>
      </c>
      <c r="J164" s="109"/>
      <c r="K164" s="110">
        <v>775</v>
      </c>
      <c r="L164" s="109"/>
      <c r="M164" s="110">
        <v>11219.69</v>
      </c>
      <c r="N164" s="109"/>
      <c r="O164" s="110">
        <v>8660</v>
      </c>
      <c r="P164" s="109"/>
      <c r="Q164" s="110">
        <v>8660</v>
      </c>
    </row>
    <row r="165" spans="1:17" x14ac:dyDescent="0.25">
      <c r="A165" s="1"/>
      <c r="B165" s="1"/>
      <c r="C165" s="1"/>
      <c r="D165" s="1"/>
      <c r="E165" s="1" t="s">
        <v>313</v>
      </c>
      <c r="F165" s="1"/>
      <c r="G165" s="1"/>
      <c r="H165" s="1"/>
      <c r="I165" s="2">
        <f>ROUND(SUM(I162:I164),5)</f>
        <v>2157.06</v>
      </c>
      <c r="J165" s="109"/>
      <c r="K165" s="2">
        <f>ROUND(SUM(K162:K164),5)</f>
        <v>1825</v>
      </c>
      <c r="L165" s="109"/>
      <c r="M165" s="2">
        <f>ROUND(SUM(M162:M164),5)</f>
        <v>24216.41</v>
      </c>
      <c r="N165" s="109"/>
      <c r="O165" s="2">
        <f>ROUND(SUM(O162:O164),5)</f>
        <v>22360</v>
      </c>
      <c r="P165" s="109"/>
      <c r="Q165" s="2">
        <f>ROUND(SUM(Q162:Q164),5)</f>
        <v>22360</v>
      </c>
    </row>
    <row r="166" spans="1:17" x14ac:dyDescent="0.25">
      <c r="A166" s="1"/>
      <c r="B166" s="1"/>
      <c r="C166" s="1"/>
      <c r="D166" s="1"/>
      <c r="E166" s="1" t="s">
        <v>16</v>
      </c>
      <c r="F166" s="1"/>
      <c r="G166" s="1"/>
      <c r="H166" s="1"/>
      <c r="I166" s="2"/>
      <c r="J166" s="109"/>
      <c r="K166" s="2"/>
      <c r="L166" s="109"/>
      <c r="M166" s="2"/>
      <c r="N166" s="109"/>
      <c r="O166" s="2"/>
      <c r="P166" s="109"/>
      <c r="Q166" s="2"/>
    </row>
    <row r="167" spans="1:17" x14ac:dyDescent="0.25">
      <c r="A167" s="1"/>
      <c r="B167" s="1"/>
      <c r="C167" s="1"/>
      <c r="D167" s="1"/>
      <c r="E167" s="1"/>
      <c r="F167" s="1" t="s">
        <v>314</v>
      </c>
      <c r="G167" s="1"/>
      <c r="H167" s="1"/>
      <c r="I167" s="2"/>
      <c r="J167" s="109"/>
      <c r="K167" s="2"/>
      <c r="L167" s="109"/>
      <c r="M167" s="2"/>
      <c r="N167" s="109"/>
      <c r="O167" s="2"/>
      <c r="P167" s="109"/>
      <c r="Q167" s="2"/>
    </row>
    <row r="168" spans="1:17" x14ac:dyDescent="0.25">
      <c r="A168" s="1"/>
      <c r="B168" s="1"/>
      <c r="C168" s="1"/>
      <c r="D168" s="1"/>
      <c r="E168" s="1"/>
      <c r="F168" s="1"/>
      <c r="G168" s="1" t="s">
        <v>315</v>
      </c>
      <c r="H168" s="1"/>
      <c r="I168" s="2">
        <v>0</v>
      </c>
      <c r="J168" s="109"/>
      <c r="K168" s="2">
        <v>0</v>
      </c>
      <c r="L168" s="109"/>
      <c r="M168" s="2">
        <v>550</v>
      </c>
      <c r="N168" s="109"/>
      <c r="O168" s="2">
        <v>500</v>
      </c>
      <c r="P168" s="109"/>
      <c r="Q168" s="2">
        <v>500</v>
      </c>
    </row>
    <row r="169" spans="1:17" x14ac:dyDescent="0.25">
      <c r="A169" s="1"/>
      <c r="B169" s="1"/>
      <c r="C169" s="1"/>
      <c r="D169" s="1"/>
      <c r="E169" s="1"/>
      <c r="F169" s="1"/>
      <c r="G169" s="1" t="s">
        <v>316</v>
      </c>
      <c r="H169" s="1"/>
      <c r="I169" s="2">
        <v>0</v>
      </c>
      <c r="J169" s="109"/>
      <c r="K169" s="2">
        <v>150</v>
      </c>
      <c r="L169" s="109"/>
      <c r="M169" s="2">
        <v>0</v>
      </c>
      <c r="N169" s="109"/>
      <c r="O169" s="2">
        <v>1000</v>
      </c>
      <c r="P169" s="109"/>
      <c r="Q169" s="2">
        <v>1000</v>
      </c>
    </row>
    <row r="170" spans="1:17" ht="15.75" thickBot="1" x14ac:dyDescent="0.3">
      <c r="A170" s="1"/>
      <c r="B170" s="1"/>
      <c r="C170" s="1"/>
      <c r="D170" s="1"/>
      <c r="E170" s="1"/>
      <c r="F170" s="1"/>
      <c r="G170" s="1" t="s">
        <v>317</v>
      </c>
      <c r="H170" s="1"/>
      <c r="I170" s="110">
        <v>0</v>
      </c>
      <c r="J170" s="109"/>
      <c r="K170" s="110">
        <v>0</v>
      </c>
      <c r="L170" s="109"/>
      <c r="M170" s="110">
        <v>286.74</v>
      </c>
      <c r="N170" s="109"/>
      <c r="O170" s="110">
        <v>750</v>
      </c>
      <c r="P170" s="109"/>
      <c r="Q170" s="110">
        <v>750</v>
      </c>
    </row>
    <row r="171" spans="1:17" x14ac:dyDescent="0.25">
      <c r="A171" s="1"/>
      <c r="B171" s="1"/>
      <c r="C171" s="1"/>
      <c r="D171" s="1"/>
      <c r="E171" s="1"/>
      <c r="F171" s="1" t="s">
        <v>318</v>
      </c>
      <c r="G171" s="1"/>
      <c r="H171" s="1"/>
      <c r="I171" s="2">
        <f>ROUND(SUM(I167:I170),5)</f>
        <v>0</v>
      </c>
      <c r="J171" s="109"/>
      <c r="K171" s="2">
        <f>ROUND(SUM(K167:K170),5)</f>
        <v>150</v>
      </c>
      <c r="L171" s="109"/>
      <c r="M171" s="2">
        <f>ROUND(SUM(M167:M170),5)</f>
        <v>836.74</v>
      </c>
      <c r="N171" s="109"/>
      <c r="O171" s="2">
        <f>ROUND(SUM(O167:O170),5)</f>
        <v>2250</v>
      </c>
      <c r="P171" s="109"/>
      <c r="Q171" s="2">
        <f>ROUND(SUM(Q167:Q170),5)</f>
        <v>2250</v>
      </c>
    </row>
    <row r="172" spans="1:17" ht="15.75" thickBot="1" x14ac:dyDescent="0.3">
      <c r="A172" s="1"/>
      <c r="B172" s="1"/>
      <c r="C172" s="1"/>
      <c r="D172" s="1"/>
      <c r="E172" s="1"/>
      <c r="F172" s="1" t="s">
        <v>319</v>
      </c>
      <c r="G172" s="1"/>
      <c r="H172" s="1"/>
      <c r="I172" s="110">
        <v>0</v>
      </c>
      <c r="J172" s="109"/>
      <c r="K172" s="110">
        <v>0</v>
      </c>
      <c r="L172" s="109"/>
      <c r="M172" s="110">
        <v>175.95</v>
      </c>
      <c r="N172" s="109"/>
      <c r="O172" s="110">
        <v>6000</v>
      </c>
      <c r="P172" s="109"/>
      <c r="Q172" s="110">
        <v>6000</v>
      </c>
    </row>
    <row r="173" spans="1:17" x14ac:dyDescent="0.25">
      <c r="A173" s="1"/>
      <c r="B173" s="1"/>
      <c r="C173" s="1"/>
      <c r="D173" s="1"/>
      <c r="E173" s="1" t="s">
        <v>320</v>
      </c>
      <c r="F173" s="1"/>
      <c r="G173" s="1"/>
      <c r="H173" s="1"/>
      <c r="I173" s="2">
        <f>ROUND(I166+SUM(I171:I172),5)</f>
        <v>0</v>
      </c>
      <c r="J173" s="109"/>
      <c r="K173" s="2">
        <f>ROUND(K166+SUM(K171:K172),5)</f>
        <v>150</v>
      </c>
      <c r="L173" s="109"/>
      <c r="M173" s="2">
        <f>ROUND(M166+SUM(M171:M172),5)</f>
        <v>1012.69</v>
      </c>
      <c r="N173" s="109"/>
      <c r="O173" s="2">
        <f>ROUND(O166+SUM(O171:O172),5)</f>
        <v>8250</v>
      </c>
      <c r="P173" s="109"/>
      <c r="Q173" s="2">
        <f>ROUND(Q166+SUM(Q171:Q172),5)</f>
        <v>8250</v>
      </c>
    </row>
    <row r="174" spans="1:17" x14ac:dyDescent="0.25">
      <c r="A174" s="1"/>
      <c r="B174" s="1"/>
      <c r="C174" s="1"/>
      <c r="D174" s="1"/>
      <c r="E174" s="1" t="s">
        <v>321</v>
      </c>
      <c r="F174" s="1"/>
      <c r="G174" s="1"/>
      <c r="H174" s="1"/>
      <c r="I174" s="2"/>
      <c r="J174" s="109"/>
      <c r="K174" s="2"/>
      <c r="L174" s="109"/>
      <c r="M174" s="2"/>
      <c r="N174" s="109"/>
      <c r="O174" s="2"/>
      <c r="P174" s="109"/>
      <c r="Q174" s="2"/>
    </row>
    <row r="175" spans="1:17" x14ac:dyDescent="0.25">
      <c r="A175" s="1"/>
      <c r="B175" s="1"/>
      <c r="C175" s="1"/>
      <c r="D175" s="1"/>
      <c r="E175" s="1"/>
      <c r="F175" s="1" t="s">
        <v>322</v>
      </c>
      <c r="G175" s="1"/>
      <c r="H175" s="1"/>
      <c r="I175" s="2">
        <v>0</v>
      </c>
      <c r="J175" s="109"/>
      <c r="K175" s="2">
        <v>0</v>
      </c>
      <c r="L175" s="109"/>
      <c r="M175" s="2">
        <v>2298</v>
      </c>
      <c r="N175" s="109"/>
      <c r="O175" s="2">
        <v>3000</v>
      </c>
      <c r="P175" s="109"/>
      <c r="Q175" s="2">
        <v>3000</v>
      </c>
    </row>
    <row r="176" spans="1:17" x14ac:dyDescent="0.25">
      <c r="A176" s="1"/>
      <c r="B176" s="1"/>
      <c r="C176" s="1"/>
      <c r="D176" s="1"/>
      <c r="E176" s="1"/>
      <c r="F176" s="1" t="s">
        <v>323</v>
      </c>
      <c r="G176" s="1"/>
      <c r="H176" s="1"/>
      <c r="I176" s="2">
        <v>0</v>
      </c>
      <c r="J176" s="109"/>
      <c r="K176" s="2">
        <v>0</v>
      </c>
      <c r="L176" s="109"/>
      <c r="M176" s="2">
        <v>500</v>
      </c>
      <c r="N176" s="109"/>
      <c r="O176" s="2">
        <v>3000</v>
      </c>
      <c r="P176" s="109"/>
      <c r="Q176" s="2">
        <v>3000</v>
      </c>
    </row>
    <row r="177" spans="1:17" ht="15.75" thickBot="1" x14ac:dyDescent="0.3">
      <c r="A177" s="1"/>
      <c r="B177" s="1"/>
      <c r="C177" s="1"/>
      <c r="D177" s="1"/>
      <c r="E177" s="1"/>
      <c r="F177" s="1" t="s">
        <v>324</v>
      </c>
      <c r="G177" s="1"/>
      <c r="H177" s="1"/>
      <c r="I177" s="2">
        <v>0</v>
      </c>
      <c r="J177" s="109"/>
      <c r="K177" s="2">
        <v>7000</v>
      </c>
      <c r="L177" s="109"/>
      <c r="M177" s="2">
        <v>730.89</v>
      </c>
      <c r="N177" s="109"/>
      <c r="O177" s="2">
        <v>9250</v>
      </c>
      <c r="P177" s="109"/>
      <c r="Q177" s="2">
        <v>9250</v>
      </c>
    </row>
    <row r="178" spans="1:17" ht="15.75" hidden="1" thickBot="1" x14ac:dyDescent="0.3">
      <c r="A178" s="1"/>
      <c r="B178" s="1"/>
      <c r="C178" s="1"/>
      <c r="D178" s="1"/>
      <c r="E178" s="1"/>
      <c r="F178" s="1"/>
      <c r="G178" s="1"/>
      <c r="H178" s="1"/>
      <c r="I178" s="2"/>
      <c r="J178" s="109"/>
      <c r="K178" s="2"/>
      <c r="L178" s="109"/>
      <c r="M178" s="2"/>
      <c r="N178" s="109"/>
      <c r="O178" s="2"/>
      <c r="P178" s="109"/>
      <c r="Q178" s="2"/>
    </row>
    <row r="179" spans="1:17" hidden="1" x14ac:dyDescent="0.25">
      <c r="A179" s="1"/>
      <c r="B179" s="1"/>
      <c r="C179" s="1"/>
      <c r="D179" s="1"/>
      <c r="E179" s="1"/>
      <c r="F179" s="1"/>
      <c r="G179" s="1" t="s">
        <v>325</v>
      </c>
      <c r="H179" s="1"/>
      <c r="I179" s="2"/>
      <c r="J179" s="109"/>
      <c r="K179" s="2"/>
      <c r="L179" s="109"/>
      <c r="M179" s="2"/>
      <c r="N179" s="109"/>
      <c r="O179" s="2"/>
      <c r="P179" s="109"/>
      <c r="Q179" s="2"/>
    </row>
    <row r="180" spans="1:17" hidden="1" x14ac:dyDescent="0.25">
      <c r="A180" s="1"/>
      <c r="B180" s="1"/>
      <c r="C180" s="1"/>
      <c r="D180" s="1"/>
      <c r="E180" s="1"/>
      <c r="F180" s="1"/>
      <c r="G180" s="1"/>
      <c r="H180" s="1" t="s">
        <v>326</v>
      </c>
      <c r="I180" s="2">
        <v>232.69</v>
      </c>
      <c r="J180" s="109"/>
      <c r="K180" s="2">
        <v>145.03</v>
      </c>
      <c r="L180" s="109"/>
      <c r="M180" s="2">
        <v>100.59</v>
      </c>
      <c r="N180" s="109"/>
      <c r="O180" s="2">
        <v>1740.36</v>
      </c>
      <c r="P180" s="109"/>
      <c r="Q180" s="2">
        <v>1740.36</v>
      </c>
    </row>
    <row r="181" spans="1:17" ht="15.75" hidden="1" thickBot="1" x14ac:dyDescent="0.3">
      <c r="A181" s="1"/>
      <c r="B181" s="1"/>
      <c r="C181" s="1"/>
      <c r="D181" s="1"/>
      <c r="E181" s="1"/>
      <c r="F181" s="1"/>
      <c r="G181" s="1"/>
      <c r="H181" s="1" t="s">
        <v>327</v>
      </c>
      <c r="I181" s="110">
        <v>0</v>
      </c>
      <c r="J181" s="109"/>
      <c r="K181" s="110">
        <v>67.53</v>
      </c>
      <c r="L181" s="109"/>
      <c r="M181" s="110">
        <v>861.67</v>
      </c>
      <c r="N181" s="109"/>
      <c r="O181" s="110">
        <v>810.36</v>
      </c>
      <c r="P181" s="109"/>
      <c r="Q181" s="110">
        <v>810.36</v>
      </c>
    </row>
    <row r="182" spans="1:17" hidden="1" x14ac:dyDescent="0.25">
      <c r="A182" s="1"/>
      <c r="B182" s="1"/>
      <c r="C182" s="1"/>
      <c r="D182" s="1"/>
      <c r="E182" s="1"/>
      <c r="F182" s="1"/>
      <c r="G182" s="1" t="s">
        <v>328</v>
      </c>
      <c r="H182" s="1"/>
      <c r="I182" s="2">
        <f>ROUND(SUM(I179:I181),5)</f>
        <v>232.69</v>
      </c>
      <c r="J182" s="109"/>
      <c r="K182" s="2">
        <f>ROUND(SUM(K179:K181),5)</f>
        <v>212.56</v>
      </c>
      <c r="L182" s="109"/>
      <c r="M182" s="2">
        <f>ROUND(SUM(M179:M181),5)</f>
        <v>962.26</v>
      </c>
      <c r="N182" s="109"/>
      <c r="O182" s="2">
        <f>ROUND(SUM(O179:O181),5)</f>
        <v>2550.7199999999998</v>
      </c>
      <c r="P182" s="109"/>
      <c r="Q182" s="2">
        <f>ROUND(SUM(Q179:Q181),5)</f>
        <v>2550.7199999999998</v>
      </c>
    </row>
    <row r="183" spans="1:17" hidden="1" x14ac:dyDescent="0.25">
      <c r="A183" s="1"/>
      <c r="B183" s="1"/>
      <c r="C183" s="1"/>
      <c r="D183" s="1"/>
      <c r="E183" s="1"/>
      <c r="F183" s="1"/>
      <c r="G183" s="1" t="s">
        <v>329</v>
      </c>
      <c r="H183" s="1"/>
      <c r="I183" s="2"/>
      <c r="J183" s="109"/>
      <c r="K183" s="2"/>
      <c r="L183" s="109"/>
      <c r="M183" s="2"/>
      <c r="N183" s="109"/>
      <c r="O183" s="2"/>
      <c r="P183" s="109"/>
      <c r="Q183" s="2"/>
    </row>
    <row r="184" spans="1:17" hidden="1" x14ac:dyDescent="0.25">
      <c r="A184" s="1"/>
      <c r="B184" s="1"/>
      <c r="C184" s="1"/>
      <c r="D184" s="1"/>
      <c r="E184" s="1"/>
      <c r="F184" s="1"/>
      <c r="G184" s="1"/>
      <c r="H184" s="1" t="s">
        <v>330</v>
      </c>
      <c r="I184" s="2">
        <v>0</v>
      </c>
      <c r="J184" s="109"/>
      <c r="K184" s="2">
        <v>561.65</v>
      </c>
      <c r="L184" s="109"/>
      <c r="M184" s="2">
        <v>2455.17</v>
      </c>
      <c r="N184" s="109"/>
      <c r="O184" s="2">
        <v>6739.8</v>
      </c>
      <c r="P184" s="109"/>
      <c r="Q184" s="2">
        <v>6739.8</v>
      </c>
    </row>
    <row r="185" spans="1:17" hidden="1" x14ac:dyDescent="0.25">
      <c r="A185" s="1"/>
      <c r="B185" s="1"/>
      <c r="C185" s="1"/>
      <c r="D185" s="1"/>
      <c r="E185" s="1"/>
      <c r="F185" s="1"/>
      <c r="G185" s="1"/>
      <c r="H185" s="1" t="s">
        <v>331</v>
      </c>
      <c r="I185" s="2">
        <v>0</v>
      </c>
      <c r="J185" s="109"/>
      <c r="K185" s="2">
        <v>28.45</v>
      </c>
      <c r="L185" s="109"/>
      <c r="M185" s="2">
        <v>50</v>
      </c>
      <c r="N185" s="109"/>
      <c r="O185" s="2">
        <v>341.4</v>
      </c>
      <c r="P185" s="109"/>
      <c r="Q185" s="2">
        <v>341.4</v>
      </c>
    </row>
    <row r="186" spans="1:17" ht="15.75" hidden="1" thickBot="1" x14ac:dyDescent="0.3">
      <c r="A186" s="1"/>
      <c r="B186" s="1"/>
      <c r="C186" s="1"/>
      <c r="D186" s="1"/>
      <c r="E186" s="1"/>
      <c r="F186" s="1"/>
      <c r="G186" s="1"/>
      <c r="H186" s="1" t="s">
        <v>332</v>
      </c>
      <c r="I186" s="110">
        <v>0</v>
      </c>
      <c r="J186" s="109"/>
      <c r="K186" s="110"/>
      <c r="L186" s="109"/>
      <c r="M186" s="110">
        <v>175</v>
      </c>
      <c r="N186" s="109"/>
      <c r="O186" s="110"/>
      <c r="P186" s="109"/>
      <c r="Q186" s="110"/>
    </row>
    <row r="187" spans="1:17" hidden="1" x14ac:dyDescent="0.25">
      <c r="A187" s="1"/>
      <c r="B187" s="1"/>
      <c r="C187" s="1"/>
      <c r="D187" s="1"/>
      <c r="E187" s="1"/>
      <c r="F187" s="1"/>
      <c r="G187" s="1" t="s">
        <v>333</v>
      </c>
      <c r="H187" s="1"/>
      <c r="I187" s="2">
        <f>ROUND(SUM(I183:I186),5)</f>
        <v>0</v>
      </c>
      <c r="J187" s="109"/>
      <c r="K187" s="2">
        <f>ROUND(SUM(K183:K186),5)</f>
        <v>590.1</v>
      </c>
      <c r="L187" s="109"/>
      <c r="M187" s="2">
        <f>ROUND(SUM(M183:M186),5)</f>
        <v>2680.17</v>
      </c>
      <c r="N187" s="109"/>
      <c r="O187" s="2">
        <f>ROUND(SUM(O183:O186),5)</f>
        <v>7081.2</v>
      </c>
      <c r="P187" s="109"/>
      <c r="Q187" s="2">
        <f>ROUND(SUM(Q183:Q186),5)</f>
        <v>7081.2</v>
      </c>
    </row>
    <row r="188" spans="1:17" hidden="1" x14ac:dyDescent="0.25">
      <c r="A188" s="1"/>
      <c r="B188" s="1"/>
      <c r="C188" s="1"/>
      <c r="D188" s="1"/>
      <c r="E188" s="1"/>
      <c r="F188" s="1"/>
      <c r="G188" s="1" t="s">
        <v>334</v>
      </c>
      <c r="H188" s="1"/>
      <c r="I188" s="2"/>
      <c r="J188" s="109"/>
      <c r="K188" s="2"/>
      <c r="L188" s="109"/>
      <c r="M188" s="2"/>
      <c r="N188" s="109"/>
      <c r="O188" s="2"/>
      <c r="P188" s="109"/>
      <c r="Q188" s="2"/>
    </row>
    <row r="189" spans="1:17" hidden="1" x14ac:dyDescent="0.25">
      <c r="A189" s="1"/>
      <c r="B189" s="1"/>
      <c r="C189" s="1"/>
      <c r="D189" s="1"/>
      <c r="E189" s="1"/>
      <c r="F189" s="1"/>
      <c r="G189" s="1"/>
      <c r="H189" s="1" t="s">
        <v>335</v>
      </c>
      <c r="I189" s="2">
        <v>15.96</v>
      </c>
      <c r="J189" s="109"/>
      <c r="K189" s="2">
        <v>78.739999999999995</v>
      </c>
      <c r="L189" s="109"/>
      <c r="M189" s="2">
        <v>115.96</v>
      </c>
      <c r="N189" s="109"/>
      <c r="O189" s="2">
        <v>944.88</v>
      </c>
      <c r="P189" s="109"/>
      <c r="Q189" s="2">
        <v>944.88</v>
      </c>
    </row>
    <row r="190" spans="1:17" hidden="1" x14ac:dyDescent="0.25">
      <c r="A190" s="1"/>
      <c r="B190" s="1"/>
      <c r="C190" s="1"/>
      <c r="D190" s="1"/>
      <c r="E190" s="1"/>
      <c r="F190" s="1"/>
      <c r="G190" s="1"/>
      <c r="H190" s="1" t="s">
        <v>336</v>
      </c>
      <c r="I190" s="2">
        <v>60</v>
      </c>
      <c r="J190" s="109"/>
      <c r="K190" s="2">
        <v>218.17</v>
      </c>
      <c r="L190" s="109"/>
      <c r="M190" s="2">
        <v>100.34</v>
      </c>
      <c r="N190" s="109"/>
      <c r="O190" s="2">
        <v>1785</v>
      </c>
      <c r="P190" s="109"/>
      <c r="Q190" s="2">
        <v>1785</v>
      </c>
    </row>
    <row r="191" spans="1:17" ht="15.75" hidden="1" thickBot="1" x14ac:dyDescent="0.3">
      <c r="A191" s="1"/>
      <c r="B191" s="1"/>
      <c r="C191" s="1"/>
      <c r="D191" s="1"/>
      <c r="E191" s="1"/>
      <c r="F191" s="1"/>
      <c r="G191" s="1"/>
      <c r="H191" s="1" t="s">
        <v>337</v>
      </c>
      <c r="I191" s="110">
        <v>77</v>
      </c>
      <c r="J191" s="109"/>
      <c r="K191" s="110">
        <v>75.98</v>
      </c>
      <c r="L191" s="109"/>
      <c r="M191" s="110">
        <v>374.69</v>
      </c>
      <c r="N191" s="109"/>
      <c r="O191" s="110">
        <v>911.76</v>
      </c>
      <c r="P191" s="109"/>
      <c r="Q191" s="110">
        <v>911.76</v>
      </c>
    </row>
    <row r="192" spans="1:17" hidden="1" x14ac:dyDescent="0.25">
      <c r="A192" s="1"/>
      <c r="B192" s="1"/>
      <c r="C192" s="1"/>
      <c r="D192" s="1"/>
      <c r="E192" s="1"/>
      <c r="F192" s="1"/>
      <c r="G192" s="1" t="s">
        <v>338</v>
      </c>
      <c r="H192" s="1"/>
      <c r="I192" s="2">
        <f>ROUND(SUM(I188:I191),5)</f>
        <v>152.96</v>
      </c>
      <c r="J192" s="109"/>
      <c r="K192" s="2">
        <f>ROUND(SUM(K188:K191),5)</f>
        <v>372.89</v>
      </c>
      <c r="L192" s="109"/>
      <c r="M192" s="2">
        <f>ROUND(SUM(M188:M191),5)</f>
        <v>590.99</v>
      </c>
      <c r="N192" s="109"/>
      <c r="O192" s="2">
        <f>ROUND(SUM(O188:O191),5)</f>
        <v>3641.64</v>
      </c>
      <c r="P192" s="109"/>
      <c r="Q192" s="2">
        <f>ROUND(SUM(Q188:Q191),5)</f>
        <v>3641.64</v>
      </c>
    </row>
    <row r="193" spans="1:17" hidden="1" x14ac:dyDescent="0.25">
      <c r="A193" s="1"/>
      <c r="B193" s="1"/>
      <c r="C193" s="1"/>
      <c r="D193" s="1"/>
      <c r="E193" s="1"/>
      <c r="F193" s="1"/>
      <c r="G193" s="1" t="s">
        <v>339</v>
      </c>
      <c r="H193" s="1"/>
      <c r="I193" s="2"/>
      <c r="J193" s="109"/>
      <c r="K193" s="2"/>
      <c r="L193" s="109"/>
      <c r="M193" s="2"/>
      <c r="N193" s="109"/>
      <c r="O193" s="2"/>
      <c r="P193" s="109"/>
      <c r="Q193" s="2"/>
    </row>
    <row r="194" spans="1:17" hidden="1" x14ac:dyDescent="0.25">
      <c r="A194" s="1"/>
      <c r="B194" s="1"/>
      <c r="C194" s="1"/>
      <c r="D194" s="1"/>
      <c r="E194" s="1"/>
      <c r="F194" s="1"/>
      <c r="G194" s="1"/>
      <c r="H194" s="1" t="s">
        <v>340</v>
      </c>
      <c r="I194" s="2">
        <v>0</v>
      </c>
      <c r="J194" s="109"/>
      <c r="K194" s="2">
        <v>1139.6300000000001</v>
      </c>
      <c r="L194" s="109"/>
      <c r="M194" s="2">
        <v>13675.5</v>
      </c>
      <c r="N194" s="109"/>
      <c r="O194" s="2">
        <v>13675.56</v>
      </c>
      <c r="P194" s="109"/>
      <c r="Q194" s="2">
        <v>13675.56</v>
      </c>
    </row>
    <row r="195" spans="1:17" hidden="1" x14ac:dyDescent="0.25">
      <c r="A195" s="1"/>
      <c r="B195" s="1"/>
      <c r="C195" s="1"/>
      <c r="D195" s="1"/>
      <c r="E195" s="1"/>
      <c r="F195" s="1"/>
      <c r="G195" s="1"/>
      <c r="H195" s="1" t="s">
        <v>341</v>
      </c>
      <c r="I195" s="2">
        <v>480</v>
      </c>
      <c r="J195" s="109"/>
      <c r="K195" s="2"/>
      <c r="L195" s="109"/>
      <c r="M195" s="2">
        <v>960</v>
      </c>
      <c r="N195" s="109"/>
      <c r="O195" s="2"/>
      <c r="P195" s="109"/>
      <c r="Q195" s="2"/>
    </row>
    <row r="196" spans="1:17" hidden="1" x14ac:dyDescent="0.25">
      <c r="A196" s="1"/>
      <c r="B196" s="1"/>
      <c r="C196" s="1"/>
      <c r="D196" s="1"/>
      <c r="E196" s="1"/>
      <c r="F196" s="1"/>
      <c r="G196" s="1"/>
      <c r="H196" s="1" t="s">
        <v>342</v>
      </c>
      <c r="I196" s="2">
        <f>0-420</f>
        <v>-420</v>
      </c>
      <c r="J196" s="109"/>
      <c r="K196" s="2">
        <v>0</v>
      </c>
      <c r="L196" s="109"/>
      <c r="M196" s="2">
        <f>4540.71-420</f>
        <v>4120.71</v>
      </c>
      <c r="N196" s="109"/>
      <c r="O196" s="2">
        <v>3331.74</v>
      </c>
      <c r="P196" s="109"/>
      <c r="Q196" s="2">
        <v>3331.74</v>
      </c>
    </row>
    <row r="197" spans="1:17" hidden="1" x14ac:dyDescent="0.25">
      <c r="A197" s="1"/>
      <c r="B197" s="1"/>
      <c r="C197" s="1"/>
      <c r="D197" s="1"/>
      <c r="E197" s="1"/>
      <c r="F197" s="1"/>
      <c r="G197" s="1"/>
      <c r="H197" s="1" t="s">
        <v>343</v>
      </c>
      <c r="I197" s="2">
        <v>154.91</v>
      </c>
      <c r="J197" s="109"/>
      <c r="K197" s="2"/>
      <c r="L197" s="109"/>
      <c r="M197" s="2">
        <v>416.91</v>
      </c>
      <c r="N197" s="109"/>
      <c r="O197" s="2"/>
      <c r="P197" s="109"/>
      <c r="Q197" s="2"/>
    </row>
    <row r="198" spans="1:17" ht="15.75" hidden="1" thickBot="1" x14ac:dyDescent="0.3">
      <c r="A198" s="1"/>
      <c r="B198" s="1"/>
      <c r="C198" s="1"/>
      <c r="D198" s="1"/>
      <c r="E198" s="1"/>
      <c r="F198" s="1"/>
      <c r="G198" s="1"/>
      <c r="H198" s="1" t="s">
        <v>344</v>
      </c>
      <c r="I198" s="110">
        <v>0</v>
      </c>
      <c r="J198" s="109"/>
      <c r="K198" s="110">
        <v>7.2</v>
      </c>
      <c r="L198" s="109"/>
      <c r="M198" s="110">
        <v>0</v>
      </c>
      <c r="N198" s="109"/>
      <c r="O198" s="110">
        <v>86.4</v>
      </c>
      <c r="P198" s="109"/>
      <c r="Q198" s="110">
        <v>86.4</v>
      </c>
    </row>
    <row r="199" spans="1:17" hidden="1" x14ac:dyDescent="0.25">
      <c r="A199" s="1"/>
      <c r="B199" s="1"/>
      <c r="C199" s="1"/>
      <c r="D199" s="1"/>
      <c r="E199" s="1"/>
      <c r="F199" s="1"/>
      <c r="G199" s="1" t="s">
        <v>345</v>
      </c>
      <c r="H199" s="1"/>
      <c r="I199" s="2">
        <f>ROUND(SUM(I193:I198),5)</f>
        <v>214.91</v>
      </c>
      <c r="J199" s="109"/>
      <c r="K199" s="2">
        <f>ROUND(SUM(K193:K198),5)</f>
        <v>1146.83</v>
      </c>
      <c r="L199" s="109"/>
      <c r="M199" s="2">
        <f>ROUND(SUM(M193:M198),5)</f>
        <v>19173.12</v>
      </c>
      <c r="N199" s="109"/>
      <c r="O199" s="2">
        <f>ROUND(SUM(O193:O198),5)</f>
        <v>17093.7</v>
      </c>
      <c r="P199" s="109"/>
      <c r="Q199" s="2">
        <f>ROUND(SUM(Q193:Q198),5)</f>
        <v>17093.7</v>
      </c>
    </row>
    <row r="200" spans="1:17" hidden="1" x14ac:dyDescent="0.25">
      <c r="A200" s="1"/>
      <c r="B200" s="1"/>
      <c r="C200" s="1"/>
      <c r="D200" s="1"/>
      <c r="E200" s="1"/>
      <c r="F200" s="1"/>
      <c r="G200" s="1" t="s">
        <v>346</v>
      </c>
      <c r="H200" s="1"/>
      <c r="I200" s="2"/>
      <c r="J200" s="109"/>
      <c r="K200" s="2"/>
      <c r="L200" s="109"/>
      <c r="M200" s="2"/>
      <c r="N200" s="109"/>
      <c r="O200" s="2"/>
      <c r="P200" s="109"/>
      <c r="Q200" s="2"/>
    </row>
    <row r="201" spans="1:17" ht="15.75" hidden="1" thickBot="1" x14ac:dyDescent="0.3">
      <c r="A201" s="1"/>
      <c r="B201" s="1"/>
      <c r="C201" s="1"/>
      <c r="D201" s="1"/>
      <c r="E201" s="1"/>
      <c r="F201" s="1"/>
      <c r="G201" s="1"/>
      <c r="H201" s="1" t="s">
        <v>347</v>
      </c>
      <c r="I201" s="111">
        <v>14.95</v>
      </c>
      <c r="J201" s="109"/>
      <c r="K201" s="111">
        <v>527.41999999999996</v>
      </c>
      <c r="L201" s="109"/>
      <c r="M201" s="111">
        <v>1191.23</v>
      </c>
      <c r="N201" s="109"/>
      <c r="O201" s="111">
        <v>6329.04</v>
      </c>
      <c r="P201" s="109"/>
      <c r="Q201" s="111">
        <v>6329.04</v>
      </c>
    </row>
    <row r="202" spans="1:17" ht="15.75" hidden="1" thickBot="1" x14ac:dyDescent="0.3">
      <c r="A202" s="1"/>
      <c r="B202" s="1"/>
      <c r="C202" s="1"/>
      <c r="D202" s="1"/>
      <c r="E202" s="1"/>
      <c r="F202" s="1"/>
      <c r="G202" s="1" t="s">
        <v>348</v>
      </c>
      <c r="H202" s="1"/>
      <c r="I202" s="113">
        <f>ROUND(SUM(I200:I201),5)</f>
        <v>14.95</v>
      </c>
      <c r="J202" s="109"/>
      <c r="K202" s="113">
        <f>ROUND(SUM(K200:K201),5)</f>
        <v>527.41999999999996</v>
      </c>
      <c r="L202" s="109"/>
      <c r="M202" s="113">
        <f>ROUND(SUM(M200:M201),5)</f>
        <v>1191.23</v>
      </c>
      <c r="N202" s="109"/>
      <c r="O202" s="113">
        <f>ROUND(SUM(O200:O201),5)</f>
        <v>6329.04</v>
      </c>
      <c r="P202" s="109"/>
      <c r="Q202" s="113">
        <f>ROUND(SUM(Q200:Q201),5)</f>
        <v>6329.04</v>
      </c>
    </row>
    <row r="203" spans="1:17" ht="15.75" thickBot="1" x14ac:dyDescent="0.3">
      <c r="A203" s="1"/>
      <c r="B203" s="1"/>
      <c r="C203" s="1"/>
      <c r="D203" s="1"/>
      <c r="E203" s="1"/>
      <c r="F203" s="1" t="s">
        <v>349</v>
      </c>
      <c r="G203" s="1"/>
      <c r="H203" s="1"/>
      <c r="I203" s="113">
        <f>ROUND(I178+I182+I187+I192+I199+I202,5)</f>
        <v>615.51</v>
      </c>
      <c r="J203" s="109"/>
      <c r="K203" s="113">
        <f>ROUND(K178+K182+K187+K192+K199+K202,5)</f>
        <v>2849.8</v>
      </c>
      <c r="L203" s="109"/>
      <c r="M203" s="113">
        <f>ROUND(M178+M182+M187+M192+M199+M202,5)</f>
        <v>24597.77</v>
      </c>
      <c r="N203" s="109"/>
      <c r="O203" s="113">
        <f>ROUND(O178+O182+O187+O192+O199+O202,5)</f>
        <v>36696.300000000003</v>
      </c>
      <c r="P203" s="109"/>
      <c r="Q203" s="113">
        <f>ROUND(Q178+Q182+Q187+Q192+Q199+Q202,5)</f>
        <v>36696.300000000003</v>
      </c>
    </row>
    <row r="204" spans="1:17" ht="15.75" thickBot="1" x14ac:dyDescent="0.3">
      <c r="A204" s="1"/>
      <c r="B204" s="1"/>
      <c r="C204" s="1"/>
      <c r="D204" s="1"/>
      <c r="E204" s="1" t="s">
        <v>350</v>
      </c>
      <c r="F204" s="1"/>
      <c r="G204" s="1"/>
      <c r="H204" s="1"/>
      <c r="I204" s="112">
        <f>ROUND(SUM(I174:I177)+I203,5)</f>
        <v>615.51</v>
      </c>
      <c r="J204" s="109"/>
      <c r="K204" s="112">
        <f>ROUND(SUM(K174:K177)+K203,5)</f>
        <v>9849.7999999999993</v>
      </c>
      <c r="L204" s="109"/>
      <c r="M204" s="112">
        <f>ROUND(SUM(M174:M177)+M203,5)</f>
        <v>28126.66</v>
      </c>
      <c r="N204" s="109"/>
      <c r="O204" s="112">
        <f>ROUND(SUM(O174:O177)+O203,5)</f>
        <v>51946.3</v>
      </c>
      <c r="P204" s="109"/>
      <c r="Q204" s="112">
        <f>ROUND(SUM(Q174:Q177)+Q203,5)</f>
        <v>51946.3</v>
      </c>
    </row>
    <row r="205" spans="1:17" x14ac:dyDescent="0.25">
      <c r="A205" s="1"/>
      <c r="B205" s="1"/>
      <c r="C205" s="1"/>
      <c r="D205" s="1" t="s">
        <v>351</v>
      </c>
      <c r="E205" s="1"/>
      <c r="F205" s="1"/>
      <c r="G205" s="1"/>
      <c r="H205" s="1"/>
      <c r="I205" s="2">
        <f>ROUND(I122+I137+I145+I158+I161+I165+I173+I204,5)</f>
        <v>35620.5</v>
      </c>
      <c r="J205" s="109"/>
      <c r="K205" s="2">
        <f>ROUND(K122+K137+K145+K158+K161+K165+K173+K204,5)</f>
        <v>48592.800000000003</v>
      </c>
      <c r="L205" s="109"/>
      <c r="M205" s="2">
        <f>ROUND(M122+M137+M145+M158+M161+M165+M173+M204,5)</f>
        <v>325604.43</v>
      </c>
      <c r="N205" s="109"/>
      <c r="O205" s="2">
        <f>ROUND(O122+O137+O145+O158+O161+O165+O173+O204,5)</f>
        <v>367344.3</v>
      </c>
      <c r="P205" s="109"/>
      <c r="Q205" s="2">
        <f>ROUND(Q122+Q137+Q145+Q158+Q161+Q165+Q173+Q204,5)</f>
        <v>367344.3</v>
      </c>
    </row>
    <row r="206" spans="1:17" ht="15.75" thickBot="1" x14ac:dyDescent="0.3">
      <c r="A206" s="1"/>
      <c r="B206" s="1"/>
      <c r="C206" s="1"/>
      <c r="D206" s="1" t="s">
        <v>352</v>
      </c>
      <c r="E206" s="1"/>
      <c r="F206" s="1"/>
      <c r="G206" s="1"/>
      <c r="H206" s="1"/>
      <c r="I206" s="2"/>
      <c r="J206" s="109"/>
      <c r="K206" s="2"/>
      <c r="L206" s="109"/>
      <c r="M206" s="2"/>
      <c r="N206" s="109"/>
      <c r="O206" s="2"/>
      <c r="P206" s="109"/>
      <c r="Q206" s="2"/>
    </row>
    <row r="207" spans="1:17" hidden="1" x14ac:dyDescent="0.25">
      <c r="A207" s="1"/>
      <c r="B207" s="1"/>
      <c r="C207" s="1"/>
      <c r="D207" s="1"/>
      <c r="E207" s="1" t="s">
        <v>353</v>
      </c>
      <c r="F207" s="1"/>
      <c r="G207" s="1"/>
      <c r="H207" s="1"/>
      <c r="I207" s="2"/>
      <c r="J207" s="109"/>
      <c r="K207" s="2"/>
      <c r="L207" s="109"/>
      <c r="M207" s="2"/>
      <c r="N207" s="109"/>
      <c r="O207" s="2"/>
      <c r="P207" s="109"/>
      <c r="Q207" s="2"/>
    </row>
    <row r="208" spans="1:17" hidden="1" x14ac:dyDescent="0.25">
      <c r="A208" s="1"/>
      <c r="B208" s="1"/>
      <c r="C208" s="1"/>
      <c r="D208" s="1"/>
      <c r="E208" s="1"/>
      <c r="F208" s="1" t="s">
        <v>354</v>
      </c>
      <c r="G208" s="1"/>
      <c r="H208" s="1"/>
      <c r="I208" s="2"/>
      <c r="J208" s="109"/>
      <c r="K208" s="2"/>
      <c r="L208" s="109"/>
      <c r="M208" s="2"/>
      <c r="N208" s="109"/>
      <c r="O208" s="2"/>
      <c r="P208" s="109"/>
      <c r="Q208" s="2"/>
    </row>
    <row r="209" spans="1:17" hidden="1" x14ac:dyDescent="0.25">
      <c r="A209" s="1"/>
      <c r="B209" s="1"/>
      <c r="C209" s="1"/>
      <c r="D209" s="1"/>
      <c r="E209" s="1"/>
      <c r="F209" s="1"/>
      <c r="G209" s="1" t="s">
        <v>355</v>
      </c>
      <c r="H209" s="1"/>
      <c r="I209" s="2">
        <v>896.07</v>
      </c>
      <c r="J209" s="109"/>
      <c r="K209" s="2">
        <v>8895.7199999999993</v>
      </c>
      <c r="L209" s="109"/>
      <c r="M209" s="2">
        <v>98754.91</v>
      </c>
      <c r="N209" s="109"/>
      <c r="O209" s="2">
        <v>106754.47</v>
      </c>
      <c r="P209" s="109"/>
      <c r="Q209" s="2">
        <v>106754.47</v>
      </c>
    </row>
    <row r="210" spans="1:17" hidden="1" x14ac:dyDescent="0.25">
      <c r="A210" s="1"/>
      <c r="B210" s="1"/>
      <c r="C210" s="1"/>
      <c r="D210" s="1"/>
      <c r="E210" s="1"/>
      <c r="F210" s="1"/>
      <c r="G210" s="1" t="s">
        <v>356</v>
      </c>
      <c r="H210" s="1"/>
      <c r="I210" s="2">
        <v>10500</v>
      </c>
      <c r="J210" s="109"/>
      <c r="K210" s="2">
        <v>2500</v>
      </c>
      <c r="L210" s="109"/>
      <c r="M210" s="2">
        <v>38000</v>
      </c>
      <c r="N210" s="109"/>
      <c r="O210" s="2">
        <v>30000</v>
      </c>
      <c r="P210" s="109"/>
      <c r="Q210" s="2">
        <v>30000</v>
      </c>
    </row>
    <row r="211" spans="1:17" hidden="1" x14ac:dyDescent="0.25">
      <c r="A211" s="1"/>
      <c r="B211" s="1"/>
      <c r="C211" s="1"/>
      <c r="D211" s="1"/>
      <c r="E211" s="1"/>
      <c r="F211" s="1"/>
      <c r="G211" s="1" t="s">
        <v>357</v>
      </c>
      <c r="H211" s="1"/>
      <c r="I211" s="2">
        <v>871.82</v>
      </c>
      <c r="J211" s="109"/>
      <c r="K211" s="2">
        <v>871.81</v>
      </c>
      <c r="L211" s="109"/>
      <c r="M211" s="2">
        <v>10450.629999999999</v>
      </c>
      <c r="N211" s="109"/>
      <c r="O211" s="2">
        <v>10461.719999999999</v>
      </c>
      <c r="P211" s="109"/>
      <c r="Q211" s="2">
        <v>10461.719999999999</v>
      </c>
    </row>
    <row r="212" spans="1:17" hidden="1" x14ac:dyDescent="0.25">
      <c r="A212" s="1"/>
      <c r="B212" s="1"/>
      <c r="C212" s="1"/>
      <c r="D212" s="1"/>
      <c r="E212" s="1"/>
      <c r="F212" s="1"/>
      <c r="G212" s="1" t="s">
        <v>358</v>
      </c>
      <c r="H212" s="1"/>
      <c r="I212" s="2">
        <v>1139.6199999999999</v>
      </c>
      <c r="J212" s="109"/>
      <c r="K212" s="2">
        <v>1139.6300000000001</v>
      </c>
      <c r="L212" s="109"/>
      <c r="M212" s="2">
        <v>13660.82</v>
      </c>
      <c r="N212" s="109"/>
      <c r="O212" s="2">
        <v>13675.56</v>
      </c>
      <c r="P212" s="109"/>
      <c r="Q212" s="2">
        <v>13675.56</v>
      </c>
    </row>
    <row r="213" spans="1:17" hidden="1" x14ac:dyDescent="0.25">
      <c r="A213" s="1"/>
      <c r="B213" s="1"/>
      <c r="C213" s="1"/>
      <c r="D213" s="1"/>
      <c r="E213" s="1"/>
      <c r="F213" s="1"/>
      <c r="G213" s="1" t="s">
        <v>359</v>
      </c>
      <c r="H213" s="1"/>
      <c r="I213" s="2">
        <v>-478.36</v>
      </c>
      <c r="J213" s="109"/>
      <c r="K213" s="2">
        <v>1795.06</v>
      </c>
      <c r="L213" s="109"/>
      <c r="M213" s="2">
        <v>23108.5</v>
      </c>
      <c r="N213" s="109"/>
      <c r="O213" s="2">
        <v>21540.720000000001</v>
      </c>
      <c r="P213" s="109"/>
      <c r="Q213" s="2">
        <v>21540.720000000001</v>
      </c>
    </row>
    <row r="214" spans="1:17" hidden="1" x14ac:dyDescent="0.25">
      <c r="A214" s="1"/>
      <c r="B214" s="1"/>
      <c r="C214" s="1"/>
      <c r="D214" s="1"/>
      <c r="E214" s="1"/>
      <c r="F214" s="1"/>
      <c r="G214" s="1" t="s">
        <v>360</v>
      </c>
      <c r="H214" s="1"/>
      <c r="I214" s="2">
        <v>0</v>
      </c>
      <c r="J214" s="109"/>
      <c r="K214" s="2">
        <v>118.4</v>
      </c>
      <c r="L214" s="109"/>
      <c r="M214" s="2">
        <v>0</v>
      </c>
      <c r="N214" s="109"/>
      <c r="O214" s="2">
        <v>1420.8</v>
      </c>
      <c r="P214" s="109"/>
      <c r="Q214" s="2">
        <v>1420.8</v>
      </c>
    </row>
    <row r="215" spans="1:17" hidden="1" x14ac:dyDescent="0.25">
      <c r="A215" s="1"/>
      <c r="B215" s="1"/>
      <c r="C215" s="1"/>
      <c r="D215" s="1"/>
      <c r="E215" s="1"/>
      <c r="F215" s="1"/>
      <c r="G215" s="1" t="s">
        <v>361</v>
      </c>
      <c r="H215" s="1"/>
      <c r="I215" s="2">
        <v>0</v>
      </c>
      <c r="J215" s="109"/>
      <c r="K215" s="2">
        <v>120</v>
      </c>
      <c r="L215" s="109"/>
      <c r="M215" s="2">
        <v>1440</v>
      </c>
      <c r="N215" s="109"/>
      <c r="O215" s="2">
        <v>1440</v>
      </c>
      <c r="P215" s="109"/>
      <c r="Q215" s="2">
        <v>1440</v>
      </c>
    </row>
    <row r="216" spans="1:17" ht="15.75" hidden="1" thickBot="1" x14ac:dyDescent="0.3">
      <c r="A216" s="1"/>
      <c r="B216" s="1"/>
      <c r="C216" s="1"/>
      <c r="D216" s="1"/>
      <c r="E216" s="1"/>
      <c r="F216" s="1"/>
      <c r="G216" s="1" t="s">
        <v>362</v>
      </c>
      <c r="H216" s="1"/>
      <c r="I216" s="110">
        <v>0</v>
      </c>
      <c r="J216" s="109"/>
      <c r="K216" s="110">
        <v>68</v>
      </c>
      <c r="L216" s="109"/>
      <c r="M216" s="110">
        <v>272</v>
      </c>
      <c r="N216" s="109"/>
      <c r="O216" s="110">
        <v>816</v>
      </c>
      <c r="P216" s="109"/>
      <c r="Q216" s="110">
        <v>816</v>
      </c>
    </row>
    <row r="217" spans="1:17" hidden="1" x14ac:dyDescent="0.25">
      <c r="A217" s="1"/>
      <c r="B217" s="1"/>
      <c r="C217" s="1"/>
      <c r="D217" s="1"/>
      <c r="E217" s="1"/>
      <c r="F217" s="1" t="s">
        <v>363</v>
      </c>
      <c r="G217" s="1"/>
      <c r="H217" s="1"/>
      <c r="I217" s="2">
        <f>ROUND(SUM(I208:I216),5)</f>
        <v>12929.15</v>
      </c>
      <c r="J217" s="109"/>
      <c r="K217" s="2">
        <f>ROUND(SUM(K208:K216),5)</f>
        <v>15508.62</v>
      </c>
      <c r="L217" s="109"/>
      <c r="M217" s="2">
        <f>ROUND(SUM(M208:M216),5)</f>
        <v>185686.86</v>
      </c>
      <c r="N217" s="109"/>
      <c r="O217" s="2">
        <f>ROUND(SUM(O208:O216),5)</f>
        <v>186109.27</v>
      </c>
      <c r="P217" s="109"/>
      <c r="Q217" s="2">
        <f>ROUND(SUM(Q208:Q216),5)</f>
        <v>186109.27</v>
      </c>
    </row>
    <row r="218" spans="1:17" hidden="1" x14ac:dyDescent="0.25">
      <c r="A218" s="1"/>
      <c r="B218" s="1"/>
      <c r="C218" s="1"/>
      <c r="D218" s="1"/>
      <c r="E218" s="1"/>
      <c r="F218" s="1" t="s">
        <v>364</v>
      </c>
      <c r="G218" s="1"/>
      <c r="H218" s="1"/>
      <c r="I218" s="2"/>
      <c r="J218" s="109"/>
      <c r="K218" s="2"/>
      <c r="L218" s="109"/>
      <c r="M218" s="2"/>
      <c r="N218" s="109"/>
      <c r="O218" s="2"/>
      <c r="P218" s="109"/>
      <c r="Q218" s="2"/>
    </row>
    <row r="219" spans="1:17" hidden="1" x14ac:dyDescent="0.25">
      <c r="A219" s="1"/>
      <c r="B219" s="1"/>
      <c r="C219" s="1"/>
      <c r="D219" s="1"/>
      <c r="E219" s="1"/>
      <c r="F219" s="1"/>
      <c r="G219" s="1" t="s">
        <v>365</v>
      </c>
      <c r="H219" s="1"/>
      <c r="I219" s="2">
        <v>0</v>
      </c>
      <c r="J219" s="109"/>
      <c r="K219" s="2">
        <v>0</v>
      </c>
      <c r="L219" s="109"/>
      <c r="M219" s="2">
        <v>33317.919999999998</v>
      </c>
      <c r="N219" s="109"/>
      <c r="O219" s="2">
        <v>33317.58</v>
      </c>
      <c r="P219" s="109"/>
      <c r="Q219" s="2">
        <v>33317.58</v>
      </c>
    </row>
    <row r="220" spans="1:17" hidden="1" x14ac:dyDescent="0.25">
      <c r="A220" s="1"/>
      <c r="B220" s="1"/>
      <c r="C220" s="1"/>
      <c r="D220" s="1"/>
      <c r="E220" s="1"/>
      <c r="F220" s="1"/>
      <c r="G220" s="1" t="s">
        <v>366</v>
      </c>
      <c r="H220" s="1"/>
      <c r="I220" s="2">
        <v>0</v>
      </c>
      <c r="J220" s="109"/>
      <c r="K220" s="2"/>
      <c r="L220" s="109"/>
      <c r="M220" s="2">
        <v>4180.54</v>
      </c>
      <c r="N220" s="109"/>
      <c r="O220" s="2"/>
      <c r="P220" s="109"/>
      <c r="Q220" s="2"/>
    </row>
    <row r="221" spans="1:17" hidden="1" x14ac:dyDescent="0.25">
      <c r="A221" s="1"/>
      <c r="B221" s="1"/>
      <c r="C221" s="1"/>
      <c r="D221" s="1"/>
      <c r="E221" s="1"/>
      <c r="F221" s="1"/>
      <c r="G221" s="1" t="s">
        <v>367</v>
      </c>
      <c r="H221" s="1"/>
      <c r="I221" s="2">
        <v>0</v>
      </c>
      <c r="J221" s="109"/>
      <c r="K221" s="2">
        <v>0</v>
      </c>
      <c r="L221" s="109"/>
      <c r="M221" s="2">
        <v>3331.79</v>
      </c>
      <c r="N221" s="109"/>
      <c r="O221" s="2">
        <v>3331.74</v>
      </c>
      <c r="P221" s="109"/>
      <c r="Q221" s="2">
        <v>3331.74</v>
      </c>
    </row>
    <row r="222" spans="1:17" hidden="1" x14ac:dyDescent="0.25">
      <c r="A222" s="1"/>
      <c r="B222" s="1"/>
      <c r="C222" s="1"/>
      <c r="D222" s="1"/>
      <c r="E222" s="1"/>
      <c r="F222" s="1"/>
      <c r="G222" s="1" t="s">
        <v>368</v>
      </c>
      <c r="H222" s="1"/>
      <c r="I222" s="2">
        <v>0</v>
      </c>
      <c r="J222" s="109"/>
      <c r="K222" s="2">
        <v>0</v>
      </c>
      <c r="L222" s="109"/>
      <c r="M222" s="2">
        <v>0</v>
      </c>
      <c r="N222" s="109"/>
      <c r="O222" s="2">
        <v>2548.8000000000002</v>
      </c>
      <c r="P222" s="109"/>
      <c r="Q222" s="2">
        <v>2548.8000000000002</v>
      </c>
    </row>
    <row r="223" spans="1:17" hidden="1" x14ac:dyDescent="0.25">
      <c r="A223" s="1"/>
      <c r="B223" s="1"/>
      <c r="C223" s="1"/>
      <c r="D223" s="1"/>
      <c r="E223" s="1"/>
      <c r="F223" s="1"/>
      <c r="G223" s="1" t="s">
        <v>369</v>
      </c>
      <c r="H223" s="1"/>
      <c r="I223" s="2">
        <v>0</v>
      </c>
      <c r="J223" s="109"/>
      <c r="K223" s="2">
        <v>0</v>
      </c>
      <c r="L223" s="109"/>
      <c r="M223" s="2">
        <v>8775.15</v>
      </c>
      <c r="N223" s="109"/>
      <c r="O223" s="2">
        <v>8660.58</v>
      </c>
      <c r="P223" s="109"/>
      <c r="Q223" s="2">
        <v>8660.58</v>
      </c>
    </row>
    <row r="224" spans="1:17" hidden="1" x14ac:dyDescent="0.25">
      <c r="A224" s="1"/>
      <c r="B224" s="1"/>
      <c r="C224" s="1"/>
      <c r="D224" s="1"/>
      <c r="E224" s="1"/>
      <c r="F224" s="1"/>
      <c r="G224" s="1" t="s">
        <v>370</v>
      </c>
      <c r="H224" s="1"/>
      <c r="I224" s="2">
        <v>0</v>
      </c>
      <c r="J224" s="109"/>
      <c r="K224" s="2">
        <v>0</v>
      </c>
      <c r="L224" s="109"/>
      <c r="M224" s="2">
        <v>379.19</v>
      </c>
      <c r="N224" s="109"/>
      <c r="O224" s="2">
        <v>325.02</v>
      </c>
      <c r="P224" s="109"/>
      <c r="Q224" s="2">
        <v>325.02</v>
      </c>
    </row>
    <row r="225" spans="1:17" hidden="1" x14ac:dyDescent="0.25">
      <c r="A225" s="1"/>
      <c r="B225" s="1"/>
      <c r="C225" s="1"/>
      <c r="D225" s="1"/>
      <c r="E225" s="1"/>
      <c r="F225" s="1"/>
      <c r="G225" s="1" t="s">
        <v>371</v>
      </c>
      <c r="H225" s="1"/>
      <c r="I225" s="2">
        <v>0</v>
      </c>
      <c r="J225" s="109"/>
      <c r="K225" s="2">
        <v>0</v>
      </c>
      <c r="L225" s="109"/>
      <c r="M225" s="2">
        <v>824</v>
      </c>
      <c r="N225" s="109"/>
      <c r="O225" s="2">
        <v>240</v>
      </c>
      <c r="P225" s="109"/>
      <c r="Q225" s="2">
        <v>240</v>
      </c>
    </row>
    <row r="226" spans="1:17" hidden="1" x14ac:dyDescent="0.25">
      <c r="A226" s="1"/>
      <c r="B226" s="1"/>
      <c r="C226" s="1"/>
      <c r="D226" s="1"/>
      <c r="E226" s="1"/>
      <c r="F226" s="1"/>
      <c r="G226" s="1" t="s">
        <v>372</v>
      </c>
      <c r="H226" s="1"/>
      <c r="I226" s="2">
        <v>0</v>
      </c>
      <c r="J226" s="109"/>
      <c r="K226" s="2"/>
      <c r="L226" s="109"/>
      <c r="M226" s="2">
        <v>2548.81</v>
      </c>
      <c r="N226" s="109"/>
      <c r="O226" s="2"/>
      <c r="P226" s="109"/>
      <c r="Q226" s="2"/>
    </row>
    <row r="227" spans="1:17" ht="15.75" hidden="1" thickBot="1" x14ac:dyDescent="0.3">
      <c r="A227" s="1"/>
      <c r="B227" s="1"/>
      <c r="C227" s="1"/>
      <c r="D227" s="1"/>
      <c r="E227" s="1"/>
      <c r="F227" s="1"/>
      <c r="G227" s="1" t="s">
        <v>373</v>
      </c>
      <c r="H227" s="1"/>
      <c r="I227" s="110">
        <v>0</v>
      </c>
      <c r="J227" s="109"/>
      <c r="K227" s="110">
        <v>0</v>
      </c>
      <c r="L227" s="109"/>
      <c r="M227" s="110">
        <v>291.56</v>
      </c>
      <c r="N227" s="109"/>
      <c r="O227" s="110">
        <v>288</v>
      </c>
      <c r="P227" s="109"/>
      <c r="Q227" s="110">
        <v>288</v>
      </c>
    </row>
    <row r="228" spans="1:17" hidden="1" x14ac:dyDescent="0.25">
      <c r="A228" s="1"/>
      <c r="B228" s="1"/>
      <c r="C228" s="1"/>
      <c r="D228" s="1"/>
      <c r="E228" s="1"/>
      <c r="F228" s="1" t="s">
        <v>374</v>
      </c>
      <c r="G228" s="1"/>
      <c r="H228" s="1"/>
      <c r="I228" s="2">
        <f>ROUND(SUM(I218:I227),5)</f>
        <v>0</v>
      </c>
      <c r="J228" s="109"/>
      <c r="K228" s="2">
        <f>ROUND(SUM(K218:K227),5)</f>
        <v>0</v>
      </c>
      <c r="L228" s="109"/>
      <c r="M228" s="2">
        <f>ROUND(SUM(M218:M227),5)</f>
        <v>53648.959999999999</v>
      </c>
      <c r="N228" s="109"/>
      <c r="O228" s="2">
        <f>ROUND(SUM(O218:O227),5)</f>
        <v>48711.72</v>
      </c>
      <c r="P228" s="109"/>
      <c r="Q228" s="2">
        <f>ROUND(SUM(Q218:Q227),5)</f>
        <v>48711.72</v>
      </c>
    </row>
    <row r="229" spans="1:17" hidden="1" x14ac:dyDescent="0.25">
      <c r="A229" s="1"/>
      <c r="B229" s="1"/>
      <c r="C229" s="1"/>
      <c r="D229" s="1"/>
      <c r="E229" s="1"/>
      <c r="F229" s="1" t="s">
        <v>375</v>
      </c>
      <c r="G229" s="1"/>
      <c r="H229" s="1"/>
      <c r="I229" s="2"/>
      <c r="J229" s="109"/>
      <c r="K229" s="2"/>
      <c r="L229" s="109"/>
      <c r="M229" s="2"/>
      <c r="N229" s="109"/>
      <c r="O229" s="2"/>
      <c r="P229" s="109"/>
      <c r="Q229" s="2"/>
    </row>
    <row r="230" spans="1:17" hidden="1" x14ac:dyDescent="0.25">
      <c r="A230" s="1"/>
      <c r="B230" s="1"/>
      <c r="C230" s="1"/>
      <c r="D230" s="1"/>
      <c r="E230" s="1"/>
      <c r="F230" s="1"/>
      <c r="G230" s="1" t="s">
        <v>376</v>
      </c>
      <c r="H230" s="1"/>
      <c r="I230" s="2">
        <v>4238.16</v>
      </c>
      <c r="J230" s="109"/>
      <c r="K230" s="2"/>
      <c r="L230" s="109"/>
      <c r="M230" s="2">
        <v>25428.959999999999</v>
      </c>
      <c r="N230" s="109"/>
      <c r="O230" s="2"/>
      <c r="P230" s="109"/>
      <c r="Q230" s="2"/>
    </row>
    <row r="231" spans="1:17" hidden="1" x14ac:dyDescent="0.25">
      <c r="A231" s="1"/>
      <c r="B231" s="1"/>
      <c r="C231" s="1"/>
      <c r="D231" s="1"/>
      <c r="E231" s="1"/>
      <c r="F231" s="1"/>
      <c r="G231" s="1" t="s">
        <v>377</v>
      </c>
      <c r="H231" s="1"/>
      <c r="I231" s="2">
        <v>1791.66</v>
      </c>
      <c r="J231" s="109"/>
      <c r="K231" s="2"/>
      <c r="L231" s="109"/>
      <c r="M231" s="2">
        <v>10749.96</v>
      </c>
      <c r="N231" s="109"/>
      <c r="O231" s="2"/>
      <c r="P231" s="109"/>
      <c r="Q231" s="2"/>
    </row>
    <row r="232" spans="1:17" hidden="1" x14ac:dyDescent="0.25">
      <c r="A232" s="1"/>
      <c r="B232" s="1"/>
      <c r="C232" s="1"/>
      <c r="D232" s="1"/>
      <c r="E232" s="1"/>
      <c r="F232" s="1"/>
      <c r="G232" s="1" t="s">
        <v>378</v>
      </c>
      <c r="H232" s="1"/>
      <c r="I232" s="2">
        <v>461.28</v>
      </c>
      <c r="J232" s="109"/>
      <c r="K232" s="2"/>
      <c r="L232" s="109"/>
      <c r="M232" s="2">
        <v>2767.68</v>
      </c>
      <c r="N232" s="109"/>
      <c r="O232" s="2"/>
      <c r="P232" s="109"/>
      <c r="Q232" s="2"/>
    </row>
    <row r="233" spans="1:17" hidden="1" x14ac:dyDescent="0.25">
      <c r="A233" s="1"/>
      <c r="B233" s="1"/>
      <c r="C233" s="1"/>
      <c r="D233" s="1"/>
      <c r="E233" s="1"/>
      <c r="F233" s="1"/>
      <c r="G233" s="1" t="s">
        <v>379</v>
      </c>
      <c r="H233" s="1"/>
      <c r="I233" s="2">
        <v>602.98</v>
      </c>
      <c r="J233" s="109"/>
      <c r="K233" s="2"/>
      <c r="L233" s="109"/>
      <c r="M233" s="2">
        <v>3617.88</v>
      </c>
      <c r="N233" s="109"/>
      <c r="O233" s="2"/>
      <c r="P233" s="109"/>
      <c r="Q233" s="2"/>
    </row>
    <row r="234" spans="1:17" hidden="1" x14ac:dyDescent="0.25">
      <c r="A234" s="1"/>
      <c r="B234" s="1"/>
      <c r="C234" s="1"/>
      <c r="D234" s="1"/>
      <c r="E234" s="1"/>
      <c r="F234" s="1"/>
      <c r="G234" s="1" t="s">
        <v>380</v>
      </c>
      <c r="H234" s="1"/>
      <c r="I234" s="2">
        <v>-168.6</v>
      </c>
      <c r="J234" s="109"/>
      <c r="K234" s="2"/>
      <c r="L234" s="109"/>
      <c r="M234" s="2">
        <v>4154.28</v>
      </c>
      <c r="N234" s="109"/>
      <c r="O234" s="2"/>
      <c r="P234" s="109"/>
      <c r="Q234" s="2"/>
    </row>
    <row r="235" spans="1:17" ht="15.75" hidden="1" thickBot="1" x14ac:dyDescent="0.3">
      <c r="A235" s="1"/>
      <c r="B235" s="1"/>
      <c r="C235" s="1"/>
      <c r="D235" s="1"/>
      <c r="E235" s="1"/>
      <c r="F235" s="1"/>
      <c r="G235" s="1" t="s">
        <v>381</v>
      </c>
      <c r="H235" s="1"/>
      <c r="I235" s="110">
        <v>-12</v>
      </c>
      <c r="J235" s="109"/>
      <c r="K235" s="2"/>
      <c r="L235" s="109"/>
      <c r="M235" s="110">
        <v>180</v>
      </c>
      <c r="N235" s="109"/>
      <c r="O235" s="2"/>
      <c r="P235" s="109"/>
      <c r="Q235" s="2"/>
    </row>
    <row r="236" spans="1:17" hidden="1" x14ac:dyDescent="0.25">
      <c r="A236" s="1"/>
      <c r="B236" s="1"/>
      <c r="C236" s="1"/>
      <c r="D236" s="1"/>
      <c r="E236" s="1"/>
      <c r="F236" s="1" t="s">
        <v>382</v>
      </c>
      <c r="G236" s="1"/>
      <c r="H236" s="1"/>
      <c r="I236" s="2">
        <f>ROUND(SUM(I229:I235),5)</f>
        <v>6913.48</v>
      </c>
      <c r="J236" s="109"/>
      <c r="K236" s="2"/>
      <c r="L236" s="109"/>
      <c r="M236" s="2">
        <f>ROUND(SUM(M229:M235),5)</f>
        <v>46898.76</v>
      </c>
      <c r="N236" s="109"/>
      <c r="O236" s="2"/>
      <c r="P236" s="109"/>
      <c r="Q236" s="2"/>
    </row>
    <row r="237" spans="1:17" hidden="1" x14ac:dyDescent="0.25">
      <c r="A237" s="1"/>
      <c r="B237" s="1"/>
      <c r="C237" s="1"/>
      <c r="D237" s="1"/>
      <c r="E237" s="1"/>
      <c r="F237" s="1" t="s">
        <v>383</v>
      </c>
      <c r="G237" s="1"/>
      <c r="H237" s="1"/>
      <c r="I237" s="2"/>
      <c r="J237" s="109"/>
      <c r="K237" s="2"/>
      <c r="L237" s="109"/>
      <c r="M237" s="2"/>
      <c r="N237" s="109"/>
      <c r="O237" s="2"/>
      <c r="P237" s="109"/>
      <c r="Q237" s="2"/>
    </row>
    <row r="238" spans="1:17" hidden="1" x14ac:dyDescent="0.25">
      <c r="A238" s="1"/>
      <c r="B238" s="1"/>
      <c r="C238" s="1"/>
      <c r="D238" s="1"/>
      <c r="E238" s="1"/>
      <c r="F238" s="1"/>
      <c r="G238" s="1" t="s">
        <v>384</v>
      </c>
      <c r="H238" s="1"/>
      <c r="I238" s="2">
        <v>2080</v>
      </c>
      <c r="J238" s="109"/>
      <c r="K238" s="2">
        <v>1040</v>
      </c>
      <c r="L238" s="109"/>
      <c r="M238" s="2">
        <v>18425.95</v>
      </c>
      <c r="N238" s="109"/>
      <c r="O238" s="2">
        <v>6240</v>
      </c>
      <c r="P238" s="109"/>
      <c r="Q238" s="2">
        <v>6240</v>
      </c>
    </row>
    <row r="239" spans="1:17" ht="15.75" hidden="1" thickBot="1" x14ac:dyDescent="0.3">
      <c r="A239" s="1"/>
      <c r="B239" s="1"/>
      <c r="C239" s="1"/>
      <c r="D239" s="1"/>
      <c r="E239" s="1"/>
      <c r="F239" s="1"/>
      <c r="G239" s="1" t="s">
        <v>385</v>
      </c>
      <c r="H239" s="1"/>
      <c r="I239" s="111">
        <v>159.12</v>
      </c>
      <c r="J239" s="109"/>
      <c r="K239" s="111">
        <v>79.56</v>
      </c>
      <c r="L239" s="109"/>
      <c r="M239" s="111">
        <v>1220.17</v>
      </c>
      <c r="N239" s="109"/>
      <c r="O239" s="111">
        <v>477.36</v>
      </c>
      <c r="P239" s="109"/>
      <c r="Q239" s="111">
        <v>477.36</v>
      </c>
    </row>
    <row r="240" spans="1:17" ht="15.75" hidden="1" thickBot="1" x14ac:dyDescent="0.3">
      <c r="A240" s="1"/>
      <c r="B240" s="1"/>
      <c r="C240" s="1"/>
      <c r="D240" s="1"/>
      <c r="E240" s="1"/>
      <c r="F240" s="1" t="s">
        <v>386</v>
      </c>
      <c r="G240" s="1"/>
      <c r="H240" s="1"/>
      <c r="I240" s="112">
        <f>ROUND(SUM(I237:I239),5)</f>
        <v>2239.12</v>
      </c>
      <c r="J240" s="109"/>
      <c r="K240" s="112">
        <f>ROUND(SUM(K237:K239),5)</f>
        <v>1119.56</v>
      </c>
      <c r="L240" s="109"/>
      <c r="M240" s="112">
        <f>ROUND(SUM(M237:M239),5)</f>
        <v>19646.12</v>
      </c>
      <c r="N240" s="109"/>
      <c r="O240" s="112">
        <f>ROUND(SUM(O237:O239),5)</f>
        <v>6717.36</v>
      </c>
      <c r="P240" s="109"/>
      <c r="Q240" s="112">
        <f>ROUND(SUM(Q237:Q239),5)</f>
        <v>6717.36</v>
      </c>
    </row>
    <row r="241" spans="1:17" hidden="1" x14ac:dyDescent="0.25">
      <c r="A241" s="1"/>
      <c r="B241" s="1"/>
      <c r="C241" s="1"/>
      <c r="D241" s="1"/>
      <c r="E241" s="1" t="s">
        <v>387</v>
      </c>
      <c r="F241" s="1"/>
      <c r="G241" s="1"/>
      <c r="H241" s="1"/>
      <c r="I241" s="2">
        <f>ROUND(I207+I217+I228+I236+I240,5)</f>
        <v>22081.75</v>
      </c>
      <c r="J241" s="109"/>
      <c r="K241" s="2">
        <f>ROUND(K207+K217+K228+K236+K240,5)</f>
        <v>16628.18</v>
      </c>
      <c r="L241" s="109"/>
      <c r="M241" s="2">
        <f>ROUND(M207+M217+M228+M236+M240,5)</f>
        <v>305880.7</v>
      </c>
      <c r="N241" s="109"/>
      <c r="O241" s="2">
        <f>ROUND(O207+O217+O228+O236+O240,5)</f>
        <v>241538.35</v>
      </c>
      <c r="P241" s="109"/>
      <c r="Q241" s="2">
        <f>ROUND(Q207+Q217+Q228+Q236+Q240,5)</f>
        <v>241538.35</v>
      </c>
    </row>
    <row r="242" spans="1:17" hidden="1" x14ac:dyDescent="0.25">
      <c r="A242" s="1"/>
      <c r="B242" s="1"/>
      <c r="C242" s="1"/>
      <c r="D242" s="1"/>
      <c r="E242" s="1" t="s">
        <v>388</v>
      </c>
      <c r="F242" s="1"/>
      <c r="G242" s="1"/>
      <c r="H242" s="1"/>
      <c r="I242" s="2"/>
      <c r="J242" s="109"/>
      <c r="K242" s="2"/>
      <c r="L242" s="109"/>
      <c r="M242" s="2"/>
      <c r="N242" s="109"/>
      <c r="O242" s="2"/>
      <c r="P242" s="109"/>
      <c r="Q242" s="2"/>
    </row>
    <row r="243" spans="1:17" hidden="1" x14ac:dyDescent="0.25">
      <c r="A243" s="1"/>
      <c r="B243" s="1"/>
      <c r="C243" s="1"/>
      <c r="D243" s="1"/>
      <c r="E243" s="1"/>
      <c r="F243" s="1" t="s">
        <v>389</v>
      </c>
      <c r="G243" s="1"/>
      <c r="H243" s="1"/>
      <c r="I243" s="2">
        <v>4306</v>
      </c>
      <c r="J243" s="109"/>
      <c r="K243" s="2"/>
      <c r="L243" s="109"/>
      <c r="M243" s="2">
        <v>36601</v>
      </c>
      <c r="N243" s="109"/>
      <c r="O243" s="2"/>
      <c r="P243" s="109"/>
      <c r="Q243" s="2"/>
    </row>
    <row r="244" spans="1:17" hidden="1" x14ac:dyDescent="0.25">
      <c r="A244" s="1"/>
      <c r="B244" s="1"/>
      <c r="C244" s="1"/>
      <c r="D244" s="1"/>
      <c r="E244" s="1"/>
      <c r="F244" s="1" t="s">
        <v>390</v>
      </c>
      <c r="G244" s="1"/>
      <c r="H244" s="1"/>
      <c r="I244" s="2"/>
      <c r="J244" s="109"/>
      <c r="K244" s="2"/>
      <c r="L244" s="109"/>
      <c r="M244" s="2"/>
      <c r="N244" s="109"/>
      <c r="O244" s="2"/>
      <c r="P244" s="109"/>
      <c r="Q244" s="2"/>
    </row>
    <row r="245" spans="1:17" hidden="1" x14ac:dyDescent="0.25">
      <c r="A245" s="1"/>
      <c r="B245" s="1"/>
      <c r="C245" s="1"/>
      <c r="D245" s="1"/>
      <c r="E245" s="1"/>
      <c r="F245" s="1"/>
      <c r="G245" s="1" t="s">
        <v>391</v>
      </c>
      <c r="H245" s="1"/>
      <c r="I245" s="2">
        <v>6029.84</v>
      </c>
      <c r="J245" s="109"/>
      <c r="K245" s="2">
        <v>5616.46</v>
      </c>
      <c r="L245" s="109"/>
      <c r="M245" s="2">
        <v>69878</v>
      </c>
      <c r="N245" s="109"/>
      <c r="O245" s="2">
        <v>67397.52</v>
      </c>
      <c r="P245" s="109"/>
      <c r="Q245" s="2">
        <v>67397.52</v>
      </c>
    </row>
    <row r="246" spans="1:17" hidden="1" x14ac:dyDescent="0.25">
      <c r="A246" s="1"/>
      <c r="B246" s="1"/>
      <c r="C246" s="1"/>
      <c r="D246" s="1"/>
      <c r="E246" s="1"/>
      <c r="F246" s="1"/>
      <c r="G246" s="1" t="s">
        <v>392</v>
      </c>
      <c r="H246" s="1"/>
      <c r="I246" s="2">
        <v>441.01</v>
      </c>
      <c r="J246" s="109"/>
      <c r="K246" s="2">
        <v>429.66</v>
      </c>
      <c r="L246" s="109"/>
      <c r="M246" s="2">
        <v>5146.01</v>
      </c>
      <c r="N246" s="109"/>
      <c r="O246" s="2">
        <v>5155.92</v>
      </c>
      <c r="P246" s="109"/>
      <c r="Q246" s="2">
        <v>5155.92</v>
      </c>
    </row>
    <row r="247" spans="1:17" hidden="1" x14ac:dyDescent="0.25">
      <c r="A247" s="1"/>
      <c r="B247" s="1"/>
      <c r="C247" s="1"/>
      <c r="D247" s="1"/>
      <c r="E247" s="1"/>
      <c r="F247" s="1"/>
      <c r="G247" s="1" t="s">
        <v>393</v>
      </c>
      <c r="H247" s="1"/>
      <c r="I247" s="2">
        <v>602.98</v>
      </c>
      <c r="J247" s="109"/>
      <c r="K247" s="2">
        <v>561.65</v>
      </c>
      <c r="L247" s="109"/>
      <c r="M247" s="2">
        <v>6987.82</v>
      </c>
      <c r="N247" s="109"/>
      <c r="O247" s="2">
        <v>6739.8</v>
      </c>
      <c r="P247" s="109"/>
      <c r="Q247" s="2">
        <v>6739.8</v>
      </c>
    </row>
    <row r="248" spans="1:17" hidden="1" x14ac:dyDescent="0.25">
      <c r="A248" s="1"/>
      <c r="B248" s="1"/>
      <c r="C248" s="1"/>
      <c r="D248" s="1"/>
      <c r="E248" s="1"/>
      <c r="F248" s="1"/>
      <c r="G248" s="1" t="s">
        <v>394</v>
      </c>
      <c r="H248" s="1"/>
      <c r="I248" s="2">
        <v>-265.08</v>
      </c>
      <c r="J248" s="109"/>
      <c r="K248" s="2">
        <v>1060.33</v>
      </c>
      <c r="L248" s="109"/>
      <c r="M248" s="2">
        <v>12800.74</v>
      </c>
      <c r="N248" s="109"/>
      <c r="O248" s="2">
        <v>12723.96</v>
      </c>
      <c r="P248" s="109"/>
      <c r="Q248" s="2">
        <v>12723.96</v>
      </c>
    </row>
    <row r="249" spans="1:17" hidden="1" x14ac:dyDescent="0.25">
      <c r="A249" s="1"/>
      <c r="B249" s="1"/>
      <c r="C249" s="1"/>
      <c r="D249" s="1"/>
      <c r="E249" s="1"/>
      <c r="F249" s="1"/>
      <c r="G249" s="1" t="s">
        <v>395</v>
      </c>
      <c r="H249" s="1"/>
      <c r="I249" s="2">
        <v>0</v>
      </c>
      <c r="J249" s="109"/>
      <c r="K249" s="2">
        <v>45.66</v>
      </c>
      <c r="L249" s="109"/>
      <c r="M249" s="2">
        <v>547.91999999999996</v>
      </c>
      <c r="N249" s="109"/>
      <c r="O249" s="2">
        <v>547.91999999999996</v>
      </c>
      <c r="P249" s="109"/>
      <c r="Q249" s="2">
        <v>547.91999999999996</v>
      </c>
    </row>
    <row r="250" spans="1:17" ht="15.75" hidden="1" thickBot="1" x14ac:dyDescent="0.3">
      <c r="A250" s="1"/>
      <c r="B250" s="1"/>
      <c r="C250" s="1"/>
      <c r="D250" s="1"/>
      <c r="E250" s="1"/>
      <c r="F250" s="1"/>
      <c r="G250" s="1" t="s">
        <v>396</v>
      </c>
      <c r="H250" s="1"/>
      <c r="I250" s="110">
        <v>0</v>
      </c>
      <c r="J250" s="109"/>
      <c r="K250" s="110">
        <v>70.66</v>
      </c>
      <c r="L250" s="109"/>
      <c r="M250" s="110">
        <v>847.92</v>
      </c>
      <c r="N250" s="109"/>
      <c r="O250" s="110">
        <v>847.92</v>
      </c>
      <c r="P250" s="109"/>
      <c r="Q250" s="110">
        <v>847.92</v>
      </c>
    </row>
    <row r="251" spans="1:17" hidden="1" x14ac:dyDescent="0.25">
      <c r="A251" s="1"/>
      <c r="B251" s="1"/>
      <c r="C251" s="1"/>
      <c r="D251" s="1"/>
      <c r="E251" s="1"/>
      <c r="F251" s="1" t="s">
        <v>397</v>
      </c>
      <c r="G251" s="1"/>
      <c r="H251" s="1"/>
      <c r="I251" s="2">
        <f>ROUND(SUM(I244:I250),5)</f>
        <v>6808.75</v>
      </c>
      <c r="J251" s="109"/>
      <c r="K251" s="2">
        <f>ROUND(SUM(K244:K250),5)</f>
        <v>7784.42</v>
      </c>
      <c r="L251" s="109"/>
      <c r="M251" s="2">
        <f>ROUND(SUM(M244:M250),5)</f>
        <v>96208.41</v>
      </c>
      <c r="N251" s="109"/>
      <c r="O251" s="2">
        <f>ROUND(SUM(O244:O250),5)</f>
        <v>93413.04</v>
      </c>
      <c r="P251" s="109"/>
      <c r="Q251" s="2">
        <f>ROUND(SUM(Q244:Q250),5)</f>
        <v>93413.04</v>
      </c>
    </row>
    <row r="252" spans="1:17" hidden="1" x14ac:dyDescent="0.25">
      <c r="A252" s="1"/>
      <c r="B252" s="1"/>
      <c r="C252" s="1"/>
      <c r="D252" s="1"/>
      <c r="E252" s="1"/>
      <c r="F252" s="1" t="s">
        <v>398</v>
      </c>
      <c r="G252" s="1"/>
      <c r="H252" s="1"/>
      <c r="I252" s="2"/>
      <c r="J252" s="109"/>
      <c r="K252" s="2"/>
      <c r="L252" s="109"/>
      <c r="M252" s="2"/>
      <c r="N252" s="109"/>
      <c r="O252" s="2"/>
      <c r="P252" s="109"/>
      <c r="Q252" s="2"/>
    </row>
    <row r="253" spans="1:17" hidden="1" x14ac:dyDescent="0.25">
      <c r="A253" s="1"/>
      <c r="B253" s="1"/>
      <c r="C253" s="1"/>
      <c r="D253" s="1"/>
      <c r="E253" s="1"/>
      <c r="F253" s="1"/>
      <c r="G253" s="1" t="s">
        <v>399</v>
      </c>
      <c r="H253" s="1"/>
      <c r="I253" s="2">
        <v>962.34</v>
      </c>
      <c r="J253" s="109"/>
      <c r="K253" s="2">
        <v>962.35</v>
      </c>
      <c r="L253" s="109"/>
      <c r="M253" s="2">
        <v>11548.08</v>
      </c>
      <c r="N253" s="109"/>
      <c r="O253" s="2">
        <v>11548.2</v>
      </c>
      <c r="P253" s="109"/>
      <c r="Q253" s="2">
        <v>11548.2</v>
      </c>
    </row>
    <row r="254" spans="1:17" ht="15.75" hidden="1" thickBot="1" x14ac:dyDescent="0.3">
      <c r="A254" s="1"/>
      <c r="B254" s="1"/>
      <c r="C254" s="1"/>
      <c r="D254" s="1"/>
      <c r="E254" s="1"/>
      <c r="F254" s="1"/>
      <c r="G254" s="1" t="s">
        <v>400</v>
      </c>
      <c r="H254" s="1"/>
      <c r="I254" s="110">
        <v>73.62</v>
      </c>
      <c r="J254" s="109"/>
      <c r="K254" s="110">
        <v>73.62</v>
      </c>
      <c r="L254" s="109"/>
      <c r="M254" s="110">
        <v>883.43</v>
      </c>
      <c r="N254" s="109"/>
      <c r="O254" s="110">
        <v>883.44</v>
      </c>
      <c r="P254" s="109"/>
      <c r="Q254" s="110">
        <v>883.44</v>
      </c>
    </row>
    <row r="255" spans="1:17" hidden="1" x14ac:dyDescent="0.25">
      <c r="A255" s="1"/>
      <c r="B255" s="1"/>
      <c r="C255" s="1"/>
      <c r="D255" s="1"/>
      <c r="E255" s="1"/>
      <c r="F255" s="1" t="s">
        <v>401</v>
      </c>
      <c r="G255" s="1"/>
      <c r="H255" s="1"/>
      <c r="I255" s="2">
        <f>ROUND(SUM(I252:I254),5)</f>
        <v>1035.96</v>
      </c>
      <c r="J255" s="109"/>
      <c r="K255" s="2">
        <f>ROUND(SUM(K252:K254),5)</f>
        <v>1035.97</v>
      </c>
      <c r="L255" s="109"/>
      <c r="M255" s="2">
        <f>ROUND(SUM(M252:M254),5)</f>
        <v>12431.51</v>
      </c>
      <c r="N255" s="109"/>
      <c r="O255" s="2">
        <f>ROUND(SUM(O252:O254),5)</f>
        <v>12431.64</v>
      </c>
      <c r="P255" s="109"/>
      <c r="Q255" s="2">
        <f>ROUND(SUM(Q252:Q254),5)</f>
        <v>12431.64</v>
      </c>
    </row>
    <row r="256" spans="1:17" hidden="1" x14ac:dyDescent="0.25">
      <c r="A256" s="1"/>
      <c r="B256" s="1"/>
      <c r="C256" s="1"/>
      <c r="D256" s="1"/>
      <c r="E256" s="1"/>
      <c r="F256" s="1" t="s">
        <v>402</v>
      </c>
      <c r="G256" s="1"/>
      <c r="H256" s="1"/>
      <c r="I256" s="2"/>
      <c r="J256" s="109"/>
      <c r="K256" s="2"/>
      <c r="L256" s="109"/>
      <c r="M256" s="2"/>
      <c r="N256" s="109"/>
      <c r="O256" s="2"/>
      <c r="P256" s="109"/>
      <c r="Q256" s="2"/>
    </row>
    <row r="257" spans="1:17" hidden="1" x14ac:dyDescent="0.25">
      <c r="A257" s="1"/>
      <c r="B257" s="1"/>
      <c r="C257" s="1"/>
      <c r="D257" s="1"/>
      <c r="E257" s="1"/>
      <c r="F257" s="1"/>
      <c r="G257" s="1" t="s">
        <v>403</v>
      </c>
      <c r="H257" s="1"/>
      <c r="I257" s="2">
        <v>0</v>
      </c>
      <c r="J257" s="109"/>
      <c r="K257" s="2">
        <v>192</v>
      </c>
      <c r="L257" s="109"/>
      <c r="M257" s="2">
        <v>531</v>
      </c>
      <c r="N257" s="109"/>
      <c r="O257" s="2">
        <v>1920</v>
      </c>
      <c r="P257" s="109"/>
      <c r="Q257" s="2">
        <v>1920</v>
      </c>
    </row>
    <row r="258" spans="1:17" ht="15.75" hidden="1" thickBot="1" x14ac:dyDescent="0.3">
      <c r="A258" s="1"/>
      <c r="B258" s="1"/>
      <c r="C258" s="1"/>
      <c r="D258" s="1"/>
      <c r="E258" s="1"/>
      <c r="F258" s="1"/>
      <c r="G258" s="1" t="s">
        <v>404</v>
      </c>
      <c r="H258" s="1"/>
      <c r="I258" s="110">
        <v>0</v>
      </c>
      <c r="J258" s="109"/>
      <c r="K258" s="110">
        <v>14.69</v>
      </c>
      <c r="L258" s="109"/>
      <c r="M258" s="110">
        <v>10.33</v>
      </c>
      <c r="N258" s="109"/>
      <c r="O258" s="110">
        <v>146.9</v>
      </c>
      <c r="P258" s="109"/>
      <c r="Q258" s="110">
        <v>146.9</v>
      </c>
    </row>
    <row r="259" spans="1:17" hidden="1" x14ac:dyDescent="0.25">
      <c r="A259" s="1"/>
      <c r="B259" s="1"/>
      <c r="C259" s="1"/>
      <c r="D259" s="1"/>
      <c r="E259" s="1"/>
      <c r="F259" s="1" t="s">
        <v>405</v>
      </c>
      <c r="G259" s="1"/>
      <c r="H259" s="1"/>
      <c r="I259" s="2">
        <f>ROUND(SUM(I256:I258),5)</f>
        <v>0</v>
      </c>
      <c r="J259" s="109"/>
      <c r="K259" s="2">
        <f>ROUND(SUM(K256:K258),5)</f>
        <v>206.69</v>
      </c>
      <c r="L259" s="109"/>
      <c r="M259" s="2">
        <f>ROUND(SUM(M256:M258),5)</f>
        <v>541.33000000000004</v>
      </c>
      <c r="N259" s="109"/>
      <c r="O259" s="2">
        <f>ROUND(SUM(O256:O258),5)</f>
        <v>2066.9</v>
      </c>
      <c r="P259" s="109"/>
      <c r="Q259" s="2">
        <f>ROUND(SUM(Q256:Q258),5)</f>
        <v>2066.9</v>
      </c>
    </row>
    <row r="260" spans="1:17" ht="15.75" hidden="1" thickBot="1" x14ac:dyDescent="0.3">
      <c r="A260" s="1"/>
      <c r="B260" s="1"/>
      <c r="C260" s="1"/>
      <c r="D260" s="1"/>
      <c r="E260" s="1"/>
      <c r="F260" s="1" t="s">
        <v>406</v>
      </c>
      <c r="G260" s="1"/>
      <c r="H260" s="1"/>
      <c r="I260" s="110">
        <v>0</v>
      </c>
      <c r="J260" s="109"/>
      <c r="K260" s="110">
        <v>430.6</v>
      </c>
      <c r="L260" s="109"/>
      <c r="M260" s="110">
        <v>2483.2399999999998</v>
      </c>
      <c r="N260" s="109"/>
      <c r="O260" s="110">
        <v>3875.4</v>
      </c>
      <c r="P260" s="109"/>
      <c r="Q260" s="110">
        <v>3875.4</v>
      </c>
    </row>
    <row r="261" spans="1:17" hidden="1" x14ac:dyDescent="0.25">
      <c r="A261" s="1"/>
      <c r="B261" s="1"/>
      <c r="C261" s="1"/>
      <c r="D261" s="1"/>
      <c r="E261" s="1" t="s">
        <v>407</v>
      </c>
      <c r="F261" s="1"/>
      <c r="G261" s="1"/>
      <c r="H261" s="1"/>
      <c r="I261" s="2">
        <f>ROUND(SUM(I242:I243)+I251+I255+SUM(I259:I260),5)</f>
        <v>12150.71</v>
      </c>
      <c r="J261" s="109"/>
      <c r="K261" s="2">
        <f>ROUND(SUM(K242:K243)+K251+K255+SUM(K259:K260),5)</f>
        <v>9457.68</v>
      </c>
      <c r="L261" s="109"/>
      <c r="M261" s="2">
        <f>ROUND(SUM(M242:M243)+M251+M255+SUM(M259:M260),5)</f>
        <v>148265.49</v>
      </c>
      <c r="N261" s="109"/>
      <c r="O261" s="2">
        <f>ROUND(SUM(O242:O243)+O251+O255+SUM(O259:O260),5)</f>
        <v>111786.98</v>
      </c>
      <c r="P261" s="109"/>
      <c r="Q261" s="2">
        <f>ROUND(SUM(Q242:Q243)+Q251+Q255+SUM(Q259:Q260),5)</f>
        <v>111786.98</v>
      </c>
    </row>
    <row r="262" spans="1:17" hidden="1" x14ac:dyDescent="0.25">
      <c r="A262" s="1"/>
      <c r="B262" s="1"/>
      <c r="C262" s="1"/>
      <c r="D262" s="1"/>
      <c r="E262" s="1" t="s">
        <v>408</v>
      </c>
      <c r="F262" s="1"/>
      <c r="G262" s="1"/>
      <c r="H262" s="1"/>
      <c r="I262" s="2"/>
      <c r="J262" s="109"/>
      <c r="K262" s="2"/>
      <c r="L262" s="109"/>
      <c r="M262" s="2"/>
      <c r="N262" s="109"/>
      <c r="O262" s="2"/>
      <c r="P262" s="109"/>
      <c r="Q262" s="2"/>
    </row>
    <row r="263" spans="1:17" hidden="1" x14ac:dyDescent="0.25">
      <c r="A263" s="1"/>
      <c r="B263" s="1"/>
      <c r="C263" s="1"/>
      <c r="D263" s="1"/>
      <c r="E263" s="1"/>
      <c r="F263" s="1" t="s">
        <v>409</v>
      </c>
      <c r="G263" s="1"/>
      <c r="H263" s="1"/>
      <c r="I263" s="2"/>
      <c r="J263" s="109"/>
      <c r="K263" s="2"/>
      <c r="L263" s="109"/>
      <c r="M263" s="2"/>
      <c r="N263" s="109"/>
      <c r="O263" s="2"/>
      <c r="P263" s="109"/>
      <c r="Q263" s="2"/>
    </row>
    <row r="264" spans="1:17" hidden="1" x14ac:dyDescent="0.25">
      <c r="A264" s="1"/>
      <c r="B264" s="1"/>
      <c r="C264" s="1"/>
      <c r="D264" s="1"/>
      <c r="E264" s="1"/>
      <c r="F264" s="1"/>
      <c r="G264" s="1" t="s">
        <v>410</v>
      </c>
      <c r="H264" s="1"/>
      <c r="I264" s="2">
        <v>0</v>
      </c>
      <c r="J264" s="109"/>
      <c r="K264" s="2">
        <v>5525.3</v>
      </c>
      <c r="L264" s="109"/>
      <c r="M264" s="2">
        <v>28709.45</v>
      </c>
      <c r="N264" s="109"/>
      <c r="O264" s="2">
        <v>63289.8</v>
      </c>
      <c r="P264" s="109"/>
      <c r="Q264" s="2">
        <v>63289.8</v>
      </c>
    </row>
    <row r="265" spans="1:17" hidden="1" x14ac:dyDescent="0.25">
      <c r="A265" s="1"/>
      <c r="B265" s="1"/>
      <c r="C265" s="1"/>
      <c r="D265" s="1"/>
      <c r="E265" s="1"/>
      <c r="F265" s="1"/>
      <c r="G265" s="1" t="s">
        <v>411</v>
      </c>
      <c r="H265" s="1"/>
      <c r="I265" s="2">
        <v>0</v>
      </c>
      <c r="J265" s="109"/>
      <c r="K265" s="2"/>
      <c r="L265" s="109"/>
      <c r="M265" s="2">
        <v>2516.0700000000002</v>
      </c>
      <c r="N265" s="109"/>
      <c r="O265" s="2"/>
      <c r="P265" s="109"/>
      <c r="Q265" s="2"/>
    </row>
    <row r="266" spans="1:17" hidden="1" x14ac:dyDescent="0.25">
      <c r="A266" s="1"/>
      <c r="B266" s="1"/>
      <c r="C266" s="1"/>
      <c r="D266" s="1"/>
      <c r="E266" s="1"/>
      <c r="F266" s="1"/>
      <c r="G266" s="1" t="s">
        <v>412</v>
      </c>
      <c r="H266" s="1"/>
      <c r="I266" s="2">
        <v>0</v>
      </c>
      <c r="J266" s="109"/>
      <c r="K266" s="2">
        <v>552.53</v>
      </c>
      <c r="L266" s="109"/>
      <c r="M266" s="2">
        <v>3288.99</v>
      </c>
      <c r="N266" s="109"/>
      <c r="O266" s="2">
        <v>6328.98</v>
      </c>
      <c r="P266" s="109"/>
      <c r="Q266" s="2">
        <v>6328.98</v>
      </c>
    </row>
    <row r="267" spans="1:17" hidden="1" x14ac:dyDescent="0.25">
      <c r="A267" s="1"/>
      <c r="B267" s="1"/>
      <c r="C267" s="1"/>
      <c r="D267" s="1"/>
      <c r="E267" s="1"/>
      <c r="F267" s="1"/>
      <c r="G267" s="1" t="s">
        <v>413</v>
      </c>
      <c r="H267" s="1"/>
      <c r="I267" s="2">
        <v>0</v>
      </c>
      <c r="J267" s="109"/>
      <c r="K267" s="2">
        <v>722.38</v>
      </c>
      <c r="L267" s="109"/>
      <c r="M267" s="2">
        <v>4386.88</v>
      </c>
      <c r="N267" s="109"/>
      <c r="O267" s="2">
        <v>8668.56</v>
      </c>
      <c r="P267" s="109"/>
      <c r="Q267" s="2">
        <v>8668.56</v>
      </c>
    </row>
    <row r="268" spans="1:17" ht="15.75" hidden="1" thickBot="1" x14ac:dyDescent="0.3">
      <c r="A268" s="1"/>
      <c r="B268" s="1"/>
      <c r="C268" s="1"/>
      <c r="D268" s="1"/>
      <c r="E268" s="1"/>
      <c r="F268" s="1"/>
      <c r="G268" s="1" t="s">
        <v>414</v>
      </c>
      <c r="H268" s="1"/>
      <c r="I268" s="110">
        <v>0</v>
      </c>
      <c r="J268" s="109"/>
      <c r="K268" s="110">
        <v>422.69</v>
      </c>
      <c r="L268" s="109"/>
      <c r="M268" s="110">
        <v>-0.1</v>
      </c>
      <c r="N268" s="109"/>
      <c r="O268" s="110">
        <v>4841.7</v>
      </c>
      <c r="P268" s="109"/>
      <c r="Q268" s="110">
        <v>4841.7</v>
      </c>
    </row>
    <row r="269" spans="1:17" hidden="1" x14ac:dyDescent="0.25">
      <c r="A269" s="1"/>
      <c r="B269" s="1"/>
      <c r="C269" s="1"/>
      <c r="D269" s="1"/>
      <c r="E269" s="1"/>
      <c r="F269" s="1" t="s">
        <v>415</v>
      </c>
      <c r="G269" s="1"/>
      <c r="H269" s="1"/>
      <c r="I269" s="2">
        <f>ROUND(SUM(I263:I268),5)</f>
        <v>0</v>
      </c>
      <c r="J269" s="109"/>
      <c r="K269" s="2">
        <f>ROUND(SUM(K263:K268),5)</f>
        <v>7222.9</v>
      </c>
      <c r="L269" s="109"/>
      <c r="M269" s="2">
        <f>ROUND(SUM(M263:M268),5)</f>
        <v>38901.29</v>
      </c>
      <c r="N269" s="109"/>
      <c r="O269" s="2">
        <f>ROUND(SUM(O263:O268),5)</f>
        <v>83129.039999999994</v>
      </c>
      <c r="P269" s="109"/>
      <c r="Q269" s="2">
        <f>ROUND(SUM(Q263:Q268),5)</f>
        <v>83129.039999999994</v>
      </c>
    </row>
    <row r="270" spans="1:17" hidden="1" x14ac:dyDescent="0.25">
      <c r="A270" s="1"/>
      <c r="B270" s="1"/>
      <c r="C270" s="1"/>
      <c r="D270" s="1"/>
      <c r="E270" s="1"/>
      <c r="F270" s="1" t="s">
        <v>416</v>
      </c>
      <c r="G270" s="1"/>
      <c r="H270" s="1"/>
      <c r="I270" s="2">
        <v>0</v>
      </c>
      <c r="J270" s="109"/>
      <c r="K270" s="2"/>
      <c r="L270" s="109"/>
      <c r="M270" s="2">
        <v>1614.74</v>
      </c>
      <c r="N270" s="109"/>
      <c r="O270" s="2"/>
      <c r="P270" s="109"/>
      <c r="Q270" s="2"/>
    </row>
    <row r="271" spans="1:17" hidden="1" x14ac:dyDescent="0.25">
      <c r="A271" s="1"/>
      <c r="B271" s="1"/>
      <c r="C271" s="1"/>
      <c r="D271" s="1"/>
      <c r="E271" s="1"/>
      <c r="F271" s="1" t="s">
        <v>417</v>
      </c>
      <c r="G271" s="1"/>
      <c r="H271" s="1"/>
      <c r="I271" s="2"/>
      <c r="J271" s="109"/>
      <c r="K271" s="2"/>
      <c r="L271" s="109"/>
      <c r="M271" s="2"/>
      <c r="N271" s="109"/>
      <c r="O271" s="2"/>
      <c r="P271" s="109"/>
      <c r="Q271" s="2"/>
    </row>
    <row r="272" spans="1:17" hidden="1" x14ac:dyDescent="0.25">
      <c r="A272" s="1"/>
      <c r="B272" s="1"/>
      <c r="C272" s="1"/>
      <c r="D272" s="1"/>
      <c r="E272" s="1"/>
      <c r="F272" s="1"/>
      <c r="G272" s="1" t="s">
        <v>418</v>
      </c>
      <c r="H272" s="1"/>
      <c r="I272" s="2">
        <v>0</v>
      </c>
      <c r="J272" s="109"/>
      <c r="K272" s="2">
        <v>742.29</v>
      </c>
      <c r="L272" s="109"/>
      <c r="M272" s="2">
        <v>4.37</v>
      </c>
      <c r="N272" s="109"/>
      <c r="O272" s="2">
        <v>8824.25</v>
      </c>
      <c r="P272" s="109"/>
      <c r="Q272" s="2">
        <v>8824.25</v>
      </c>
    </row>
    <row r="273" spans="1:17" hidden="1" x14ac:dyDescent="0.25">
      <c r="A273" s="1"/>
      <c r="B273" s="1"/>
      <c r="C273" s="1"/>
      <c r="D273" s="1"/>
      <c r="E273" s="1"/>
      <c r="F273" s="1"/>
      <c r="G273" s="1" t="s">
        <v>419</v>
      </c>
      <c r="H273" s="1"/>
      <c r="I273" s="2">
        <v>20.57</v>
      </c>
      <c r="J273" s="109"/>
      <c r="K273" s="2">
        <v>20.57</v>
      </c>
      <c r="L273" s="109"/>
      <c r="M273" s="2">
        <v>203.25</v>
      </c>
      <c r="N273" s="109"/>
      <c r="O273" s="2">
        <v>227.98</v>
      </c>
      <c r="P273" s="109"/>
      <c r="Q273" s="2">
        <v>227.98</v>
      </c>
    </row>
    <row r="274" spans="1:17" ht="15.75" hidden="1" thickBot="1" x14ac:dyDescent="0.3">
      <c r="A274" s="1"/>
      <c r="B274" s="1"/>
      <c r="C274" s="1"/>
      <c r="D274" s="1"/>
      <c r="E274" s="1"/>
      <c r="F274" s="1"/>
      <c r="G274" s="1" t="s">
        <v>420</v>
      </c>
      <c r="H274" s="1"/>
      <c r="I274" s="110">
        <v>268.92</v>
      </c>
      <c r="J274" s="109"/>
      <c r="K274" s="110"/>
      <c r="L274" s="109"/>
      <c r="M274" s="110">
        <v>4065.89</v>
      </c>
      <c r="N274" s="109"/>
      <c r="O274" s="110"/>
      <c r="P274" s="109"/>
      <c r="Q274" s="110"/>
    </row>
    <row r="275" spans="1:17" hidden="1" x14ac:dyDescent="0.25">
      <c r="A275" s="1"/>
      <c r="B275" s="1"/>
      <c r="C275" s="1"/>
      <c r="D275" s="1"/>
      <c r="E275" s="1"/>
      <c r="F275" s="1" t="s">
        <v>421</v>
      </c>
      <c r="G275" s="1"/>
      <c r="H275" s="1"/>
      <c r="I275" s="2">
        <f>ROUND(SUM(I271:I274),5)</f>
        <v>289.49</v>
      </c>
      <c r="J275" s="109"/>
      <c r="K275" s="2">
        <f>ROUND(SUM(K271:K274),5)</f>
        <v>762.86</v>
      </c>
      <c r="L275" s="109"/>
      <c r="M275" s="2">
        <f>ROUND(SUM(M271:M274),5)</f>
        <v>4273.51</v>
      </c>
      <c r="N275" s="109"/>
      <c r="O275" s="2">
        <f>ROUND(SUM(O271:O274),5)</f>
        <v>9052.23</v>
      </c>
      <c r="P275" s="109"/>
      <c r="Q275" s="2">
        <f>ROUND(SUM(Q271:Q274),5)</f>
        <v>9052.23</v>
      </c>
    </row>
    <row r="276" spans="1:17" hidden="1" x14ac:dyDescent="0.25">
      <c r="A276" s="1"/>
      <c r="B276" s="1"/>
      <c r="C276" s="1"/>
      <c r="D276" s="1"/>
      <c r="E276" s="1"/>
      <c r="F276" s="1" t="s">
        <v>422</v>
      </c>
      <c r="G276" s="1"/>
      <c r="H276" s="1"/>
      <c r="I276" s="2"/>
      <c r="J276" s="109"/>
      <c r="K276" s="2"/>
      <c r="L276" s="109"/>
      <c r="M276" s="2"/>
      <c r="N276" s="109"/>
      <c r="O276" s="2"/>
      <c r="P276" s="109"/>
      <c r="Q276" s="2"/>
    </row>
    <row r="277" spans="1:17" hidden="1" x14ac:dyDescent="0.25">
      <c r="A277" s="1"/>
      <c r="B277" s="1"/>
      <c r="C277" s="1"/>
      <c r="D277" s="1"/>
      <c r="E277" s="1"/>
      <c r="F277" s="1"/>
      <c r="G277" s="1" t="s">
        <v>423</v>
      </c>
      <c r="H277" s="1"/>
      <c r="I277" s="2">
        <v>0</v>
      </c>
      <c r="J277" s="109"/>
      <c r="K277" s="2">
        <v>459.92</v>
      </c>
      <c r="L277" s="109"/>
      <c r="M277" s="2">
        <v>855.12</v>
      </c>
      <c r="N277" s="109"/>
      <c r="O277" s="2">
        <v>4966.38</v>
      </c>
      <c r="P277" s="109"/>
      <c r="Q277" s="2">
        <v>4966.38</v>
      </c>
    </row>
    <row r="278" spans="1:17" hidden="1" x14ac:dyDescent="0.25">
      <c r="A278" s="1"/>
      <c r="B278" s="1"/>
      <c r="C278" s="1"/>
      <c r="D278" s="1"/>
      <c r="E278" s="1"/>
      <c r="F278" s="1"/>
      <c r="G278" s="1" t="s">
        <v>424</v>
      </c>
      <c r="H278" s="1"/>
      <c r="I278" s="2">
        <v>34.71</v>
      </c>
      <c r="J278" s="109"/>
      <c r="K278" s="2">
        <v>34.729999999999997</v>
      </c>
      <c r="L278" s="109"/>
      <c r="M278" s="2">
        <v>539.42999999999995</v>
      </c>
      <c r="N278" s="109"/>
      <c r="O278" s="2">
        <v>377.68</v>
      </c>
      <c r="P278" s="109"/>
      <c r="Q278" s="2">
        <v>377.68</v>
      </c>
    </row>
    <row r="279" spans="1:17" ht="15.75" hidden="1" thickBot="1" x14ac:dyDescent="0.3">
      <c r="A279" s="1"/>
      <c r="B279" s="1"/>
      <c r="C279" s="1"/>
      <c r="D279" s="1"/>
      <c r="E279" s="1"/>
      <c r="F279" s="1"/>
      <c r="G279" s="1" t="s">
        <v>425</v>
      </c>
      <c r="H279" s="1"/>
      <c r="I279" s="110">
        <v>453.92</v>
      </c>
      <c r="J279" s="109"/>
      <c r="K279" s="110"/>
      <c r="L279" s="109"/>
      <c r="M279" s="110">
        <v>5632.57</v>
      </c>
      <c r="N279" s="109"/>
      <c r="O279" s="110"/>
      <c r="P279" s="109"/>
      <c r="Q279" s="110"/>
    </row>
    <row r="280" spans="1:17" hidden="1" x14ac:dyDescent="0.25">
      <c r="A280" s="1"/>
      <c r="B280" s="1"/>
      <c r="C280" s="1"/>
      <c r="D280" s="1"/>
      <c r="E280" s="1"/>
      <c r="F280" s="1" t="s">
        <v>426</v>
      </c>
      <c r="G280" s="1"/>
      <c r="H280" s="1"/>
      <c r="I280" s="2">
        <f>ROUND(SUM(I276:I279),5)</f>
        <v>488.63</v>
      </c>
      <c r="J280" s="109"/>
      <c r="K280" s="2">
        <f>ROUND(SUM(K276:K279),5)</f>
        <v>494.65</v>
      </c>
      <c r="L280" s="109"/>
      <c r="M280" s="2">
        <f>ROUND(SUM(M276:M279),5)</f>
        <v>7027.12</v>
      </c>
      <c r="N280" s="109"/>
      <c r="O280" s="2">
        <f>ROUND(SUM(O276:O279),5)</f>
        <v>5344.06</v>
      </c>
      <c r="P280" s="109"/>
      <c r="Q280" s="2">
        <f>ROUND(SUM(Q276:Q279),5)</f>
        <v>5344.06</v>
      </c>
    </row>
    <row r="281" spans="1:17" hidden="1" x14ac:dyDescent="0.25">
      <c r="A281" s="1"/>
      <c r="B281" s="1"/>
      <c r="C281" s="1"/>
      <c r="D281" s="1"/>
      <c r="E281" s="1"/>
      <c r="F281" s="1" t="s">
        <v>427</v>
      </c>
      <c r="G281" s="1"/>
      <c r="H281" s="1"/>
      <c r="I281" s="2"/>
      <c r="J281" s="109"/>
      <c r="K281" s="2"/>
      <c r="L281" s="109"/>
      <c r="M281" s="2"/>
      <c r="N281" s="109"/>
      <c r="O281" s="2"/>
      <c r="P281" s="109"/>
      <c r="Q281" s="2"/>
    </row>
    <row r="282" spans="1:17" hidden="1" x14ac:dyDescent="0.25">
      <c r="A282" s="1"/>
      <c r="B282" s="1"/>
      <c r="C282" s="1"/>
      <c r="D282" s="1"/>
      <c r="E282" s="1"/>
      <c r="F282" s="1"/>
      <c r="G282" s="1" t="s">
        <v>428</v>
      </c>
      <c r="H282" s="1"/>
      <c r="I282" s="2">
        <v>0</v>
      </c>
      <c r="J282" s="109"/>
      <c r="K282" s="2">
        <v>596.67999999999995</v>
      </c>
      <c r="L282" s="109"/>
      <c r="M282" s="2">
        <v>0</v>
      </c>
      <c r="N282" s="109"/>
      <c r="O282" s="2">
        <v>3580.08</v>
      </c>
      <c r="P282" s="109"/>
      <c r="Q282" s="2">
        <v>3580.08</v>
      </c>
    </row>
    <row r="283" spans="1:17" ht="15.75" hidden="1" thickBot="1" x14ac:dyDescent="0.3">
      <c r="A283" s="1"/>
      <c r="B283" s="1"/>
      <c r="C283" s="1"/>
      <c r="D283" s="1"/>
      <c r="E283" s="1"/>
      <c r="F283" s="1"/>
      <c r="G283" s="1" t="s">
        <v>429</v>
      </c>
      <c r="H283" s="1"/>
      <c r="I283" s="110">
        <v>0</v>
      </c>
      <c r="J283" s="109"/>
      <c r="K283" s="110">
        <v>45.65</v>
      </c>
      <c r="L283" s="109"/>
      <c r="M283" s="110">
        <v>0</v>
      </c>
      <c r="N283" s="109"/>
      <c r="O283" s="110">
        <v>273.89999999999998</v>
      </c>
      <c r="P283" s="109"/>
      <c r="Q283" s="110">
        <v>273.89999999999998</v>
      </c>
    </row>
    <row r="284" spans="1:17" hidden="1" x14ac:dyDescent="0.25">
      <c r="A284" s="1"/>
      <c r="B284" s="1"/>
      <c r="C284" s="1"/>
      <c r="D284" s="1"/>
      <c r="E284" s="1"/>
      <c r="F284" s="1" t="s">
        <v>430</v>
      </c>
      <c r="G284" s="1"/>
      <c r="H284" s="1"/>
      <c r="I284" s="2">
        <f>ROUND(SUM(I281:I283),5)</f>
        <v>0</v>
      </c>
      <c r="J284" s="109"/>
      <c r="K284" s="2">
        <f>ROUND(SUM(K281:K283),5)</f>
        <v>642.33000000000004</v>
      </c>
      <c r="L284" s="109"/>
      <c r="M284" s="2">
        <f>ROUND(SUM(M281:M283),5)</f>
        <v>0</v>
      </c>
      <c r="N284" s="109"/>
      <c r="O284" s="2">
        <f>ROUND(SUM(O281:O283),5)</f>
        <v>3853.98</v>
      </c>
      <c r="P284" s="109"/>
      <c r="Q284" s="2">
        <f>ROUND(SUM(Q281:Q283),5)</f>
        <v>3853.98</v>
      </c>
    </row>
    <row r="285" spans="1:17" hidden="1" x14ac:dyDescent="0.25">
      <c r="A285" s="1"/>
      <c r="B285" s="1"/>
      <c r="C285" s="1"/>
      <c r="D285" s="1"/>
      <c r="E285" s="1"/>
      <c r="F285" s="1" t="s">
        <v>431</v>
      </c>
      <c r="G285" s="1"/>
      <c r="H285" s="1"/>
      <c r="I285" s="2"/>
      <c r="J285" s="109"/>
      <c r="K285" s="2"/>
      <c r="L285" s="109"/>
      <c r="M285" s="2"/>
      <c r="N285" s="109"/>
      <c r="O285" s="2"/>
      <c r="P285" s="109"/>
      <c r="Q285" s="2"/>
    </row>
    <row r="286" spans="1:17" hidden="1" x14ac:dyDescent="0.25">
      <c r="A286" s="1"/>
      <c r="B286" s="1"/>
      <c r="C286" s="1"/>
      <c r="D286" s="1"/>
      <c r="E286" s="1"/>
      <c r="F286" s="1"/>
      <c r="G286" s="1" t="s">
        <v>432</v>
      </c>
      <c r="H286" s="1"/>
      <c r="I286" s="2">
        <v>4363.34</v>
      </c>
      <c r="J286" s="109"/>
      <c r="K286" s="2"/>
      <c r="L286" s="109"/>
      <c r="M286" s="2">
        <v>21816.7</v>
      </c>
      <c r="N286" s="109"/>
      <c r="O286" s="2"/>
      <c r="P286" s="109"/>
      <c r="Q286" s="2"/>
    </row>
    <row r="287" spans="1:17" hidden="1" x14ac:dyDescent="0.25">
      <c r="A287" s="1"/>
      <c r="B287" s="1"/>
      <c r="C287" s="1"/>
      <c r="D287" s="1"/>
      <c r="E287" s="1"/>
      <c r="F287" s="1"/>
      <c r="G287" s="1" t="s">
        <v>433</v>
      </c>
      <c r="H287" s="1"/>
      <c r="I287" s="2">
        <v>306.89</v>
      </c>
      <c r="J287" s="109"/>
      <c r="K287" s="2"/>
      <c r="L287" s="109"/>
      <c r="M287" s="2">
        <v>1534.41</v>
      </c>
      <c r="N287" s="109"/>
      <c r="O287" s="2"/>
      <c r="P287" s="109"/>
      <c r="Q287" s="2"/>
    </row>
    <row r="288" spans="1:17" hidden="1" x14ac:dyDescent="0.25">
      <c r="A288" s="1"/>
      <c r="B288" s="1"/>
      <c r="C288" s="1"/>
      <c r="D288" s="1"/>
      <c r="E288" s="1"/>
      <c r="F288" s="1"/>
      <c r="G288" s="1" t="s">
        <v>434</v>
      </c>
      <c r="H288" s="1"/>
      <c r="I288" s="2">
        <v>436.34</v>
      </c>
      <c r="J288" s="109"/>
      <c r="K288" s="2"/>
      <c r="L288" s="109"/>
      <c r="M288" s="2">
        <v>2181.6999999999998</v>
      </c>
      <c r="N288" s="109"/>
      <c r="O288" s="2"/>
      <c r="P288" s="109"/>
      <c r="Q288" s="2"/>
    </row>
    <row r="289" spans="1:17" ht="15.75" hidden="1" thickBot="1" x14ac:dyDescent="0.3">
      <c r="A289" s="1"/>
      <c r="B289" s="1"/>
      <c r="C289" s="1"/>
      <c r="D289" s="1"/>
      <c r="E289" s="1"/>
      <c r="F289" s="1"/>
      <c r="G289" s="1" t="s">
        <v>435</v>
      </c>
      <c r="H289" s="1"/>
      <c r="I289" s="111">
        <v>-351.82</v>
      </c>
      <c r="J289" s="109"/>
      <c r="K289" s="2"/>
      <c r="L289" s="109"/>
      <c r="M289" s="111">
        <v>5277.62</v>
      </c>
      <c r="N289" s="109"/>
      <c r="O289" s="2"/>
      <c r="P289" s="109"/>
      <c r="Q289" s="2"/>
    </row>
    <row r="290" spans="1:17" ht="15.75" hidden="1" thickBot="1" x14ac:dyDescent="0.3">
      <c r="A290" s="1"/>
      <c r="B290" s="1"/>
      <c r="C290" s="1"/>
      <c r="D290" s="1"/>
      <c r="E290" s="1"/>
      <c r="F290" s="1" t="s">
        <v>436</v>
      </c>
      <c r="G290" s="1"/>
      <c r="H290" s="1"/>
      <c r="I290" s="112">
        <f>ROUND(SUM(I285:I289),5)</f>
        <v>4754.75</v>
      </c>
      <c r="J290" s="109"/>
      <c r="K290" s="110"/>
      <c r="L290" s="109"/>
      <c r="M290" s="112">
        <f>ROUND(SUM(M285:M289),5)</f>
        <v>30810.43</v>
      </c>
      <c r="N290" s="109"/>
      <c r="O290" s="110"/>
      <c r="P290" s="109"/>
      <c r="Q290" s="110"/>
    </row>
    <row r="291" spans="1:17" hidden="1" x14ac:dyDescent="0.25">
      <c r="A291" s="1"/>
      <c r="B291" s="1"/>
      <c r="C291" s="1"/>
      <c r="D291" s="1"/>
      <c r="E291" s="1" t="s">
        <v>437</v>
      </c>
      <c r="F291" s="1"/>
      <c r="G291" s="1"/>
      <c r="H291" s="1"/>
      <c r="I291" s="2">
        <f>ROUND(I262+SUM(I269:I270)+I275+I280+I284+I290,5)</f>
        <v>5532.87</v>
      </c>
      <c r="J291" s="109"/>
      <c r="K291" s="2">
        <f>ROUND(K262+SUM(K269:K270)+K275+K280+K284+K290,5)</f>
        <v>9122.74</v>
      </c>
      <c r="L291" s="109"/>
      <c r="M291" s="2">
        <f>ROUND(M262+SUM(M269:M270)+M275+M280+M284+M290,5)</f>
        <v>82627.09</v>
      </c>
      <c r="N291" s="109"/>
      <c r="O291" s="2">
        <f>ROUND(O262+SUM(O269:O270)+O275+O280+O284+O290,5)</f>
        <v>101379.31</v>
      </c>
      <c r="P291" s="109"/>
      <c r="Q291" s="2">
        <f>ROUND(Q262+SUM(Q269:Q270)+Q275+Q280+Q284+Q290,5)</f>
        <v>101379.31</v>
      </c>
    </row>
    <row r="292" spans="1:17" hidden="1" x14ac:dyDescent="0.25">
      <c r="A292" s="1"/>
      <c r="B292" s="1"/>
      <c r="C292" s="1"/>
      <c r="D292" s="1"/>
      <c r="E292" s="1" t="s">
        <v>438</v>
      </c>
      <c r="F292" s="1"/>
      <c r="G292" s="1"/>
      <c r="H292" s="1"/>
      <c r="I292" s="2"/>
      <c r="J292" s="109"/>
      <c r="K292" s="2"/>
      <c r="L292" s="109"/>
      <c r="M292" s="2"/>
      <c r="N292" s="109"/>
      <c r="O292" s="2"/>
      <c r="P292" s="109"/>
      <c r="Q292" s="2"/>
    </row>
    <row r="293" spans="1:17" hidden="1" x14ac:dyDescent="0.25">
      <c r="A293" s="1"/>
      <c r="B293" s="1"/>
      <c r="C293" s="1"/>
      <c r="D293" s="1"/>
      <c r="E293" s="1"/>
      <c r="F293" s="1" t="s">
        <v>439</v>
      </c>
      <c r="G293" s="1"/>
      <c r="H293" s="1"/>
      <c r="I293" s="2">
        <v>930.1</v>
      </c>
      <c r="J293" s="109"/>
      <c r="K293" s="2"/>
      <c r="L293" s="109"/>
      <c r="M293" s="2">
        <v>3731.86</v>
      </c>
      <c r="N293" s="109"/>
      <c r="O293" s="2"/>
      <c r="P293" s="109"/>
      <c r="Q293" s="2"/>
    </row>
    <row r="294" spans="1:17" hidden="1" x14ac:dyDescent="0.25">
      <c r="A294" s="1"/>
      <c r="B294" s="1"/>
      <c r="C294" s="1"/>
      <c r="D294" s="1"/>
      <c r="E294" s="1"/>
      <c r="F294" s="1" t="s">
        <v>440</v>
      </c>
      <c r="G294" s="1"/>
      <c r="H294" s="1"/>
      <c r="I294" s="2"/>
      <c r="J294" s="109"/>
      <c r="K294" s="2"/>
      <c r="L294" s="109"/>
      <c r="M294" s="2"/>
      <c r="N294" s="109"/>
      <c r="O294" s="2"/>
      <c r="P294" s="109"/>
      <c r="Q294" s="2"/>
    </row>
    <row r="295" spans="1:17" hidden="1" x14ac:dyDescent="0.25">
      <c r="A295" s="1"/>
      <c r="B295" s="1"/>
      <c r="C295" s="1"/>
      <c r="D295" s="1"/>
      <c r="E295" s="1"/>
      <c r="F295" s="1"/>
      <c r="G295" s="1" t="s">
        <v>441</v>
      </c>
      <c r="H295" s="1"/>
      <c r="I295" s="2">
        <v>4000</v>
      </c>
      <c r="J295" s="109"/>
      <c r="K295" s="2">
        <v>3936.77</v>
      </c>
      <c r="L295" s="109"/>
      <c r="M295" s="2">
        <v>47620.56</v>
      </c>
      <c r="N295" s="109"/>
      <c r="O295" s="2">
        <v>47241.24</v>
      </c>
      <c r="P295" s="109"/>
      <c r="Q295" s="2">
        <v>47241.24</v>
      </c>
    </row>
    <row r="296" spans="1:17" hidden="1" x14ac:dyDescent="0.25">
      <c r="A296" s="1"/>
      <c r="B296" s="1"/>
      <c r="C296" s="1"/>
      <c r="D296" s="1"/>
      <c r="E296" s="1"/>
      <c r="F296" s="1"/>
      <c r="G296" s="1" t="s">
        <v>442</v>
      </c>
      <c r="H296" s="1"/>
      <c r="I296" s="2">
        <v>282.85000000000002</v>
      </c>
      <c r="J296" s="109"/>
      <c r="K296" s="2">
        <v>301.16000000000003</v>
      </c>
      <c r="L296" s="109"/>
      <c r="M296" s="2">
        <v>3414.96</v>
      </c>
      <c r="N296" s="109"/>
      <c r="O296" s="2">
        <v>3613.92</v>
      </c>
      <c r="P296" s="109"/>
      <c r="Q296" s="2">
        <v>3613.92</v>
      </c>
    </row>
    <row r="297" spans="1:17" hidden="1" x14ac:dyDescent="0.25">
      <c r="A297" s="1"/>
      <c r="B297" s="1"/>
      <c r="C297" s="1"/>
      <c r="D297" s="1"/>
      <c r="E297" s="1"/>
      <c r="F297" s="1"/>
      <c r="G297" s="1" t="s">
        <v>443</v>
      </c>
      <c r="H297" s="1"/>
      <c r="I297" s="2">
        <v>400</v>
      </c>
      <c r="J297" s="109"/>
      <c r="K297" s="2">
        <v>393.68</v>
      </c>
      <c r="L297" s="109"/>
      <c r="M297" s="2">
        <v>4762.07</v>
      </c>
      <c r="N297" s="109"/>
      <c r="O297" s="2">
        <v>4724.16</v>
      </c>
      <c r="P297" s="109"/>
      <c r="Q297" s="2">
        <v>4724.16</v>
      </c>
    </row>
    <row r="298" spans="1:17" ht="15.75" hidden="1" thickBot="1" x14ac:dyDescent="0.3">
      <c r="A298" s="1"/>
      <c r="B298" s="1"/>
      <c r="C298" s="1"/>
      <c r="D298" s="1"/>
      <c r="E298" s="1"/>
      <c r="F298" s="1"/>
      <c r="G298" s="1" t="s">
        <v>444</v>
      </c>
      <c r="H298" s="1"/>
      <c r="I298" s="110">
        <v>-302.72000000000003</v>
      </c>
      <c r="J298" s="109"/>
      <c r="K298" s="110">
        <v>1210.8900000000001</v>
      </c>
      <c r="L298" s="109"/>
      <c r="M298" s="110">
        <v>14624.48</v>
      </c>
      <c r="N298" s="109"/>
      <c r="O298" s="110">
        <v>14530.68</v>
      </c>
      <c r="P298" s="109"/>
      <c r="Q298" s="110">
        <v>14530.68</v>
      </c>
    </row>
    <row r="299" spans="1:17" hidden="1" x14ac:dyDescent="0.25">
      <c r="A299" s="1"/>
      <c r="B299" s="1"/>
      <c r="C299" s="1"/>
      <c r="D299" s="1"/>
      <c r="E299" s="1"/>
      <c r="F299" s="1" t="s">
        <v>445</v>
      </c>
      <c r="G299" s="1"/>
      <c r="H299" s="1"/>
      <c r="I299" s="2">
        <f>ROUND(SUM(I294:I298),5)</f>
        <v>4380.13</v>
      </c>
      <c r="J299" s="109"/>
      <c r="K299" s="2">
        <f>ROUND(SUM(K294:K298),5)</f>
        <v>5842.5</v>
      </c>
      <c r="L299" s="109"/>
      <c r="M299" s="2">
        <f>ROUND(SUM(M294:M298),5)</f>
        <v>70422.070000000007</v>
      </c>
      <c r="N299" s="109"/>
      <c r="O299" s="2">
        <f>ROUND(SUM(O294:O298),5)</f>
        <v>70110</v>
      </c>
      <c r="P299" s="109"/>
      <c r="Q299" s="2">
        <f>ROUND(SUM(Q294:Q298),5)</f>
        <v>70110</v>
      </c>
    </row>
    <row r="300" spans="1:17" hidden="1" x14ac:dyDescent="0.25">
      <c r="A300" s="1"/>
      <c r="B300" s="1"/>
      <c r="C300" s="1"/>
      <c r="D300" s="1"/>
      <c r="E300" s="1"/>
      <c r="F300" s="1" t="s">
        <v>446</v>
      </c>
      <c r="G300" s="1"/>
      <c r="H300" s="1"/>
      <c r="I300" s="2"/>
      <c r="J300" s="109"/>
      <c r="K300" s="2"/>
      <c r="L300" s="109"/>
      <c r="M300" s="2"/>
      <c r="N300" s="109"/>
      <c r="O300" s="2"/>
      <c r="P300" s="109"/>
      <c r="Q300" s="2"/>
    </row>
    <row r="301" spans="1:17" hidden="1" x14ac:dyDescent="0.25">
      <c r="A301" s="1"/>
      <c r="B301" s="1"/>
      <c r="C301" s="1"/>
      <c r="D301" s="1"/>
      <c r="E301" s="1"/>
      <c r="F301" s="1"/>
      <c r="G301" s="1" t="s">
        <v>447</v>
      </c>
      <c r="H301" s="1"/>
      <c r="I301" s="2">
        <v>0</v>
      </c>
      <c r="J301" s="109"/>
      <c r="K301" s="2">
        <v>4363.34</v>
      </c>
      <c r="L301" s="109"/>
      <c r="M301" s="2">
        <v>28163.3</v>
      </c>
      <c r="N301" s="109"/>
      <c r="O301" s="2">
        <v>50464.06</v>
      </c>
      <c r="P301" s="109"/>
      <c r="Q301" s="2">
        <v>50464.06</v>
      </c>
    </row>
    <row r="302" spans="1:17" hidden="1" x14ac:dyDescent="0.25">
      <c r="A302" s="1"/>
      <c r="B302" s="1"/>
      <c r="C302" s="1"/>
      <c r="D302" s="1"/>
      <c r="E302" s="1"/>
      <c r="F302" s="1"/>
      <c r="G302" s="1" t="s">
        <v>448</v>
      </c>
      <c r="H302" s="1"/>
      <c r="I302" s="2">
        <v>0</v>
      </c>
      <c r="J302" s="109"/>
      <c r="K302" s="2">
        <v>354.45</v>
      </c>
      <c r="L302" s="109"/>
      <c r="M302" s="2">
        <v>2043.19</v>
      </c>
      <c r="N302" s="109"/>
      <c r="O302" s="2">
        <v>3985.66</v>
      </c>
      <c r="P302" s="109"/>
      <c r="Q302" s="2">
        <v>3985.66</v>
      </c>
    </row>
    <row r="303" spans="1:17" hidden="1" x14ac:dyDescent="0.25">
      <c r="A303" s="1"/>
      <c r="B303" s="1"/>
      <c r="C303" s="1"/>
      <c r="D303" s="1"/>
      <c r="E303" s="1"/>
      <c r="F303" s="1"/>
      <c r="G303" s="1" t="s">
        <v>449</v>
      </c>
      <c r="H303" s="1"/>
      <c r="I303" s="2">
        <v>0</v>
      </c>
      <c r="J303" s="109"/>
      <c r="K303" s="2">
        <v>436.33</v>
      </c>
      <c r="L303" s="109"/>
      <c r="M303" s="2">
        <v>2841.3</v>
      </c>
      <c r="N303" s="109"/>
      <c r="O303" s="2">
        <v>4998</v>
      </c>
      <c r="P303" s="109"/>
      <c r="Q303" s="2">
        <v>4998</v>
      </c>
    </row>
    <row r="304" spans="1:17" ht="15.75" hidden="1" thickBot="1" x14ac:dyDescent="0.3">
      <c r="A304" s="1"/>
      <c r="B304" s="1"/>
      <c r="C304" s="1"/>
      <c r="D304" s="1"/>
      <c r="E304" s="1"/>
      <c r="F304" s="1"/>
      <c r="G304" s="1" t="s">
        <v>450</v>
      </c>
      <c r="H304" s="1"/>
      <c r="I304" s="110">
        <v>0</v>
      </c>
      <c r="J304" s="109"/>
      <c r="K304" s="110">
        <v>1407.34</v>
      </c>
      <c r="L304" s="109"/>
      <c r="M304" s="110">
        <v>11716.56</v>
      </c>
      <c r="N304" s="109"/>
      <c r="O304" s="110">
        <v>16888.080000000002</v>
      </c>
      <c r="P304" s="109"/>
      <c r="Q304" s="110">
        <v>16888.080000000002</v>
      </c>
    </row>
    <row r="305" spans="1:17" hidden="1" x14ac:dyDescent="0.25">
      <c r="A305" s="1"/>
      <c r="B305" s="1"/>
      <c r="C305" s="1"/>
      <c r="D305" s="1"/>
      <c r="E305" s="1"/>
      <c r="F305" s="1" t="s">
        <v>451</v>
      </c>
      <c r="G305" s="1"/>
      <c r="H305" s="1"/>
      <c r="I305" s="2">
        <f>ROUND(SUM(I300:I304),5)</f>
        <v>0</v>
      </c>
      <c r="J305" s="109"/>
      <c r="K305" s="2">
        <f>ROUND(SUM(K300:K304),5)</f>
        <v>6561.46</v>
      </c>
      <c r="L305" s="109"/>
      <c r="M305" s="2">
        <f>ROUND(SUM(M300:M304),5)</f>
        <v>44764.35</v>
      </c>
      <c r="N305" s="109"/>
      <c r="O305" s="2">
        <f>ROUND(SUM(O300:O304),5)</f>
        <v>76335.8</v>
      </c>
      <c r="P305" s="109"/>
      <c r="Q305" s="2">
        <f>ROUND(SUM(Q300:Q304),5)</f>
        <v>76335.8</v>
      </c>
    </row>
    <row r="306" spans="1:17" hidden="1" x14ac:dyDescent="0.25">
      <c r="A306" s="1"/>
      <c r="B306" s="1"/>
      <c r="C306" s="1"/>
      <c r="D306" s="1"/>
      <c r="E306" s="1"/>
      <c r="F306" s="1" t="s">
        <v>452</v>
      </c>
      <c r="G306" s="1"/>
      <c r="H306" s="1"/>
      <c r="I306" s="2"/>
      <c r="J306" s="109"/>
      <c r="K306" s="2"/>
      <c r="L306" s="109"/>
      <c r="M306" s="2"/>
      <c r="N306" s="109"/>
      <c r="O306" s="2"/>
      <c r="P306" s="109"/>
      <c r="Q306" s="2"/>
    </row>
    <row r="307" spans="1:17" hidden="1" x14ac:dyDescent="0.25">
      <c r="A307" s="1"/>
      <c r="B307" s="1"/>
      <c r="C307" s="1"/>
      <c r="D307" s="1"/>
      <c r="E307" s="1"/>
      <c r="F307" s="1"/>
      <c r="G307" s="1" t="s">
        <v>453</v>
      </c>
      <c r="H307" s="1"/>
      <c r="I307" s="2">
        <v>4000</v>
      </c>
      <c r="J307" s="109"/>
      <c r="K307" s="2">
        <v>3798.75</v>
      </c>
      <c r="L307" s="109"/>
      <c r="M307" s="2">
        <v>46490.68</v>
      </c>
      <c r="N307" s="109"/>
      <c r="O307" s="2">
        <v>45585</v>
      </c>
      <c r="P307" s="109"/>
      <c r="Q307" s="2">
        <v>45585</v>
      </c>
    </row>
    <row r="308" spans="1:17" hidden="1" x14ac:dyDescent="0.25">
      <c r="A308" s="1"/>
      <c r="B308" s="1"/>
      <c r="C308" s="1"/>
      <c r="D308" s="1"/>
      <c r="E308" s="1"/>
      <c r="F308" s="1"/>
      <c r="G308" s="1" t="s">
        <v>454</v>
      </c>
      <c r="H308" s="1"/>
      <c r="I308" s="2">
        <v>291.26</v>
      </c>
      <c r="J308" s="109"/>
      <c r="K308" s="2">
        <v>290.60000000000002</v>
      </c>
      <c r="L308" s="109"/>
      <c r="M308" s="2">
        <v>3411.38</v>
      </c>
      <c r="N308" s="109"/>
      <c r="O308" s="2">
        <v>3487.2</v>
      </c>
      <c r="P308" s="109"/>
      <c r="Q308" s="2">
        <v>3487.2</v>
      </c>
    </row>
    <row r="309" spans="1:17" hidden="1" x14ac:dyDescent="0.25">
      <c r="A309" s="1"/>
      <c r="B309" s="1"/>
      <c r="C309" s="1"/>
      <c r="D309" s="1"/>
      <c r="E309" s="1"/>
      <c r="F309" s="1"/>
      <c r="G309" s="1" t="s">
        <v>455</v>
      </c>
      <c r="H309" s="1"/>
      <c r="I309" s="2">
        <v>400</v>
      </c>
      <c r="J309" s="109"/>
      <c r="K309" s="2">
        <v>398.88</v>
      </c>
      <c r="L309" s="109"/>
      <c r="M309" s="2">
        <v>6524.09</v>
      </c>
      <c r="N309" s="109"/>
      <c r="O309" s="2">
        <v>6661.56</v>
      </c>
      <c r="P309" s="109"/>
      <c r="Q309" s="2">
        <v>6661.56</v>
      </c>
    </row>
    <row r="310" spans="1:17" hidden="1" x14ac:dyDescent="0.25">
      <c r="A310" s="1"/>
      <c r="B310" s="1"/>
      <c r="C310" s="1"/>
      <c r="D310" s="1"/>
      <c r="E310" s="1"/>
      <c r="F310" s="1"/>
      <c r="G310" s="1" t="s">
        <v>456</v>
      </c>
      <c r="H310" s="1"/>
      <c r="I310" s="2">
        <v>-180.72</v>
      </c>
      <c r="J310" s="109"/>
      <c r="K310" s="2">
        <v>722.84</v>
      </c>
      <c r="L310" s="109"/>
      <c r="M310" s="2">
        <v>8727.3799999999992</v>
      </c>
      <c r="N310" s="109"/>
      <c r="O310" s="2">
        <v>8674.08</v>
      </c>
      <c r="P310" s="109"/>
      <c r="Q310" s="2">
        <v>8674.08</v>
      </c>
    </row>
    <row r="311" spans="1:17" hidden="1" x14ac:dyDescent="0.25">
      <c r="A311" s="1"/>
      <c r="B311" s="1"/>
      <c r="C311" s="1"/>
      <c r="D311" s="1"/>
      <c r="E311" s="1"/>
      <c r="F311" s="1"/>
      <c r="G311" s="1" t="s">
        <v>457</v>
      </c>
      <c r="H311" s="1"/>
      <c r="I311" s="2">
        <v>-12</v>
      </c>
      <c r="J311" s="109"/>
      <c r="K311" s="2">
        <v>48</v>
      </c>
      <c r="L311" s="109"/>
      <c r="M311" s="2">
        <v>579.55999999999995</v>
      </c>
      <c r="N311" s="109"/>
      <c r="O311" s="2">
        <v>576</v>
      </c>
      <c r="P311" s="109"/>
      <c r="Q311" s="2">
        <v>576</v>
      </c>
    </row>
    <row r="312" spans="1:17" ht="15.75" hidden="1" thickBot="1" x14ac:dyDescent="0.3">
      <c r="A312" s="1"/>
      <c r="B312" s="1"/>
      <c r="C312" s="1"/>
      <c r="D312" s="1"/>
      <c r="E312" s="1"/>
      <c r="F312" s="1"/>
      <c r="G312" s="1" t="s">
        <v>458</v>
      </c>
      <c r="H312" s="1"/>
      <c r="I312" s="111">
        <v>0</v>
      </c>
      <c r="J312" s="109"/>
      <c r="K312" s="111">
        <v>80.25</v>
      </c>
      <c r="L312" s="109"/>
      <c r="M312" s="111">
        <v>963</v>
      </c>
      <c r="N312" s="109"/>
      <c r="O312" s="111">
        <v>963</v>
      </c>
      <c r="P312" s="109"/>
      <c r="Q312" s="111">
        <v>963</v>
      </c>
    </row>
    <row r="313" spans="1:17" ht="15.75" hidden="1" thickBot="1" x14ac:dyDescent="0.3">
      <c r="A313" s="1"/>
      <c r="B313" s="1"/>
      <c r="C313" s="1"/>
      <c r="D313" s="1"/>
      <c r="E313" s="1"/>
      <c r="F313" s="1" t="s">
        <v>459</v>
      </c>
      <c r="G313" s="1"/>
      <c r="H313" s="1"/>
      <c r="I313" s="112">
        <f>ROUND(SUM(I306:I312),5)</f>
        <v>4498.54</v>
      </c>
      <c r="J313" s="109"/>
      <c r="K313" s="112">
        <f>ROUND(SUM(K306:K312),5)</f>
        <v>5339.32</v>
      </c>
      <c r="L313" s="109"/>
      <c r="M313" s="112">
        <f>ROUND(SUM(M306:M312),5)</f>
        <v>66696.09</v>
      </c>
      <c r="N313" s="109"/>
      <c r="O313" s="112">
        <f>ROUND(SUM(O306:O312),5)</f>
        <v>65946.84</v>
      </c>
      <c r="P313" s="109"/>
      <c r="Q313" s="112">
        <f>ROUND(SUM(Q306:Q312),5)</f>
        <v>65946.84</v>
      </c>
    </row>
    <row r="314" spans="1:17" hidden="1" x14ac:dyDescent="0.25">
      <c r="A314" s="1"/>
      <c r="B314" s="1"/>
      <c r="C314" s="1"/>
      <c r="D314" s="1"/>
      <c r="E314" s="1" t="s">
        <v>460</v>
      </c>
      <c r="F314" s="1"/>
      <c r="G314" s="1"/>
      <c r="H314" s="1"/>
      <c r="I314" s="2">
        <f>ROUND(SUM(I292:I293)+I299+I305+I313,5)</f>
        <v>9808.77</v>
      </c>
      <c r="J314" s="109"/>
      <c r="K314" s="2">
        <f>ROUND(SUM(K292:K293)+K299+K305+K313,5)</f>
        <v>17743.28</v>
      </c>
      <c r="L314" s="109"/>
      <c r="M314" s="2">
        <f>ROUND(SUM(M292:M293)+M299+M305+M313,5)</f>
        <v>185614.37</v>
      </c>
      <c r="N314" s="109"/>
      <c r="O314" s="2">
        <f>ROUND(SUM(O292:O293)+O299+O305+O313,5)</f>
        <v>212392.64</v>
      </c>
      <c r="P314" s="109"/>
      <c r="Q314" s="2">
        <f>ROUND(SUM(Q292:Q293)+Q299+Q305+Q313,5)</f>
        <v>212392.64</v>
      </c>
    </row>
    <row r="315" spans="1:17" hidden="1" x14ac:dyDescent="0.25">
      <c r="A315" s="1"/>
      <c r="B315" s="1"/>
      <c r="C315" s="1"/>
      <c r="D315" s="1"/>
      <c r="E315" s="1" t="s">
        <v>17</v>
      </c>
      <c r="F315" s="1"/>
      <c r="G315" s="1"/>
      <c r="H315" s="1"/>
      <c r="I315" s="2"/>
      <c r="J315" s="109"/>
      <c r="K315" s="2"/>
      <c r="L315" s="109"/>
      <c r="M315" s="2"/>
      <c r="N315" s="109"/>
      <c r="O315" s="2"/>
      <c r="P315" s="109"/>
      <c r="Q315" s="2"/>
    </row>
    <row r="316" spans="1:17" hidden="1" x14ac:dyDescent="0.25">
      <c r="A316" s="1"/>
      <c r="B316" s="1"/>
      <c r="C316" s="1"/>
      <c r="D316" s="1"/>
      <c r="E316" s="1"/>
      <c r="F316" s="1" t="s">
        <v>461</v>
      </c>
      <c r="G316" s="1"/>
      <c r="H316" s="1"/>
      <c r="I316" s="2"/>
      <c r="J316" s="109"/>
      <c r="K316" s="2"/>
      <c r="L316" s="109"/>
      <c r="M316" s="2"/>
      <c r="N316" s="109"/>
      <c r="O316" s="2"/>
      <c r="P316" s="109"/>
      <c r="Q316" s="2"/>
    </row>
    <row r="317" spans="1:17" hidden="1" x14ac:dyDescent="0.25">
      <c r="A317" s="1"/>
      <c r="B317" s="1"/>
      <c r="C317" s="1"/>
      <c r="D317" s="1"/>
      <c r="E317" s="1"/>
      <c r="F317" s="1"/>
      <c r="G317" s="1" t="s">
        <v>462</v>
      </c>
      <c r="H317" s="1"/>
      <c r="I317" s="2">
        <v>0</v>
      </c>
      <c r="J317" s="109"/>
      <c r="K317" s="2">
        <v>600</v>
      </c>
      <c r="L317" s="109"/>
      <c r="M317" s="2">
        <v>0</v>
      </c>
      <c r="N317" s="109"/>
      <c r="O317" s="2">
        <v>4420.45</v>
      </c>
      <c r="P317" s="109"/>
      <c r="Q317" s="2">
        <v>4420.45</v>
      </c>
    </row>
    <row r="318" spans="1:17" ht="15.75" hidden="1" thickBot="1" x14ac:dyDescent="0.3">
      <c r="A318" s="1"/>
      <c r="B318" s="1"/>
      <c r="C318" s="1"/>
      <c r="D318" s="1"/>
      <c r="E318" s="1"/>
      <c r="F318" s="1"/>
      <c r="G318" s="1" t="s">
        <v>463</v>
      </c>
      <c r="H318" s="1"/>
      <c r="I318" s="110">
        <v>0</v>
      </c>
      <c r="J318" s="109"/>
      <c r="K318" s="110">
        <v>45.9</v>
      </c>
      <c r="L318" s="109"/>
      <c r="M318" s="110">
        <v>0</v>
      </c>
      <c r="N318" s="109"/>
      <c r="O318" s="110">
        <v>337.65</v>
      </c>
      <c r="P318" s="109"/>
      <c r="Q318" s="110">
        <v>337.65</v>
      </c>
    </row>
    <row r="319" spans="1:17" hidden="1" x14ac:dyDescent="0.25">
      <c r="A319" s="1"/>
      <c r="B319" s="1"/>
      <c r="C319" s="1"/>
      <c r="D319" s="1"/>
      <c r="E319" s="1"/>
      <c r="F319" s="1" t="s">
        <v>464</v>
      </c>
      <c r="G319" s="1"/>
      <c r="H319" s="1"/>
      <c r="I319" s="2">
        <f>ROUND(SUM(I316:I318),5)</f>
        <v>0</v>
      </c>
      <c r="J319" s="109"/>
      <c r="K319" s="2">
        <f>ROUND(SUM(K316:K318),5)</f>
        <v>645.9</v>
      </c>
      <c r="L319" s="109"/>
      <c r="M319" s="2">
        <f>ROUND(SUM(M316:M318),5)</f>
        <v>0</v>
      </c>
      <c r="N319" s="109"/>
      <c r="O319" s="2">
        <f>ROUND(SUM(O316:O318),5)</f>
        <v>4758.1000000000004</v>
      </c>
      <c r="P319" s="109"/>
      <c r="Q319" s="2">
        <f>ROUND(SUM(Q316:Q318),5)</f>
        <v>4758.1000000000004</v>
      </c>
    </row>
    <row r="320" spans="1:17" hidden="1" x14ac:dyDescent="0.25">
      <c r="A320" s="1"/>
      <c r="B320" s="1"/>
      <c r="C320" s="1"/>
      <c r="D320" s="1"/>
      <c r="E320" s="1"/>
      <c r="F320" s="1" t="s">
        <v>465</v>
      </c>
      <c r="G320" s="1"/>
      <c r="H320" s="1"/>
      <c r="I320" s="2"/>
      <c r="J320" s="109"/>
      <c r="K320" s="2"/>
      <c r="L320" s="109"/>
      <c r="M320" s="2"/>
      <c r="N320" s="109"/>
      <c r="O320" s="2"/>
      <c r="P320" s="109"/>
      <c r="Q320" s="2"/>
    </row>
    <row r="321" spans="1:17" hidden="1" x14ac:dyDescent="0.25">
      <c r="A321" s="1"/>
      <c r="B321" s="1"/>
      <c r="C321" s="1"/>
      <c r="D321" s="1"/>
      <c r="E321" s="1"/>
      <c r="F321" s="1"/>
      <c r="G321" s="1" t="s">
        <v>466</v>
      </c>
      <c r="H321" s="1"/>
      <c r="I321" s="2">
        <v>2988.34</v>
      </c>
      <c r="J321" s="109"/>
      <c r="K321" s="2">
        <v>2988.35</v>
      </c>
      <c r="L321" s="109"/>
      <c r="M321" s="2">
        <v>35860.080000000002</v>
      </c>
      <c r="N321" s="109"/>
      <c r="O321" s="2">
        <v>35860.199999999997</v>
      </c>
      <c r="P321" s="109"/>
      <c r="Q321" s="2">
        <v>35860.199999999997</v>
      </c>
    </row>
    <row r="322" spans="1:17" hidden="1" x14ac:dyDescent="0.25">
      <c r="A322" s="1"/>
      <c r="B322" s="1"/>
      <c r="C322" s="1"/>
      <c r="D322" s="1"/>
      <c r="E322" s="1"/>
      <c r="F322" s="1"/>
      <c r="G322" s="1" t="s">
        <v>467</v>
      </c>
      <c r="H322" s="1"/>
      <c r="I322" s="2">
        <v>208.82</v>
      </c>
      <c r="J322" s="109"/>
      <c r="K322" s="2">
        <v>228.61</v>
      </c>
      <c r="L322" s="109"/>
      <c r="M322" s="2">
        <v>2548.4499999999998</v>
      </c>
      <c r="N322" s="109"/>
      <c r="O322" s="2">
        <v>2743.32</v>
      </c>
      <c r="P322" s="109"/>
      <c r="Q322" s="2">
        <v>2743.32</v>
      </c>
    </row>
    <row r="323" spans="1:17" hidden="1" x14ac:dyDescent="0.25">
      <c r="A323" s="1"/>
      <c r="B323" s="1"/>
      <c r="C323" s="1"/>
      <c r="D323" s="1"/>
      <c r="E323" s="1"/>
      <c r="F323" s="1"/>
      <c r="G323" s="1" t="s">
        <v>468</v>
      </c>
      <c r="H323" s="1"/>
      <c r="I323" s="2">
        <v>0</v>
      </c>
      <c r="J323" s="109"/>
      <c r="K323" s="2">
        <v>298.83999999999997</v>
      </c>
      <c r="L323" s="109"/>
      <c r="M323" s="2">
        <v>0</v>
      </c>
      <c r="N323" s="109"/>
      <c r="O323" s="2">
        <v>3586.08</v>
      </c>
      <c r="P323" s="109"/>
      <c r="Q323" s="2">
        <v>3586.08</v>
      </c>
    </row>
    <row r="324" spans="1:17" hidden="1" x14ac:dyDescent="0.25">
      <c r="A324" s="1"/>
      <c r="B324" s="1"/>
      <c r="C324" s="1"/>
      <c r="D324" s="1"/>
      <c r="E324" s="1"/>
      <c r="F324" s="1"/>
      <c r="G324" s="1" t="s">
        <v>469</v>
      </c>
      <c r="H324" s="1"/>
      <c r="I324" s="2">
        <v>298.83999999999997</v>
      </c>
      <c r="J324" s="109"/>
      <c r="K324" s="2"/>
      <c r="L324" s="109"/>
      <c r="M324" s="2">
        <v>3586.07</v>
      </c>
      <c r="N324" s="109"/>
      <c r="O324" s="2"/>
      <c r="P324" s="109"/>
      <c r="Q324" s="2"/>
    </row>
    <row r="325" spans="1:17" hidden="1" x14ac:dyDescent="0.25">
      <c r="A325" s="1"/>
      <c r="B325" s="1"/>
      <c r="C325" s="1"/>
      <c r="D325" s="1"/>
      <c r="E325" s="1"/>
      <c r="F325" s="1"/>
      <c r="G325" s="1" t="s">
        <v>470</v>
      </c>
      <c r="H325" s="1"/>
      <c r="I325" s="2">
        <v>-246.68</v>
      </c>
      <c r="J325" s="109"/>
      <c r="K325" s="2">
        <v>986.73</v>
      </c>
      <c r="L325" s="109"/>
      <c r="M325" s="2">
        <v>11916.52</v>
      </c>
      <c r="N325" s="109"/>
      <c r="O325" s="2">
        <v>11840.76</v>
      </c>
      <c r="P325" s="109"/>
      <c r="Q325" s="2">
        <v>11840.76</v>
      </c>
    </row>
    <row r="326" spans="1:17" hidden="1" x14ac:dyDescent="0.25">
      <c r="A326" s="1"/>
      <c r="B326" s="1"/>
      <c r="C326" s="1"/>
      <c r="D326" s="1"/>
      <c r="E326" s="1"/>
      <c r="F326" s="1"/>
      <c r="G326" s="1" t="s">
        <v>471</v>
      </c>
      <c r="H326" s="1"/>
      <c r="I326" s="2">
        <v>-12</v>
      </c>
      <c r="J326" s="109"/>
      <c r="K326" s="2">
        <v>48</v>
      </c>
      <c r="L326" s="109"/>
      <c r="M326" s="2">
        <v>579.55999999999995</v>
      </c>
      <c r="N326" s="109"/>
      <c r="O326" s="2">
        <v>576</v>
      </c>
      <c r="P326" s="109"/>
      <c r="Q326" s="2">
        <v>576</v>
      </c>
    </row>
    <row r="327" spans="1:17" ht="15.75" hidden="1" thickBot="1" x14ac:dyDescent="0.3">
      <c r="A327" s="1"/>
      <c r="B327" s="1"/>
      <c r="C327" s="1"/>
      <c r="D327" s="1"/>
      <c r="E327" s="1"/>
      <c r="F327" s="1"/>
      <c r="G327" s="1" t="s">
        <v>472</v>
      </c>
      <c r="H327" s="1"/>
      <c r="I327" s="110">
        <v>0</v>
      </c>
      <c r="J327" s="109"/>
      <c r="K327" s="110">
        <v>67.13</v>
      </c>
      <c r="L327" s="109"/>
      <c r="M327" s="110">
        <v>805.56</v>
      </c>
      <c r="N327" s="109"/>
      <c r="O327" s="110">
        <v>805.56</v>
      </c>
      <c r="P327" s="109"/>
      <c r="Q327" s="110">
        <v>805.56</v>
      </c>
    </row>
    <row r="328" spans="1:17" hidden="1" x14ac:dyDescent="0.25">
      <c r="A328" s="1"/>
      <c r="B328" s="1"/>
      <c r="C328" s="1"/>
      <c r="D328" s="1"/>
      <c r="E328" s="1"/>
      <c r="F328" s="1" t="s">
        <v>473</v>
      </c>
      <c r="G328" s="1"/>
      <c r="H328" s="1"/>
      <c r="I328" s="2">
        <f>ROUND(SUM(I320:I327),5)</f>
        <v>3237.32</v>
      </c>
      <c r="J328" s="109"/>
      <c r="K328" s="2">
        <f>ROUND(SUM(K320:K327),5)</f>
        <v>4617.66</v>
      </c>
      <c r="L328" s="109"/>
      <c r="M328" s="2">
        <f>ROUND(SUM(M320:M327),5)</f>
        <v>55296.24</v>
      </c>
      <c r="N328" s="109"/>
      <c r="O328" s="2">
        <f>ROUND(SUM(O320:O327),5)</f>
        <v>55411.92</v>
      </c>
      <c r="P328" s="109"/>
      <c r="Q328" s="2">
        <f>ROUND(SUM(Q320:Q327),5)</f>
        <v>55411.92</v>
      </c>
    </row>
    <row r="329" spans="1:17" hidden="1" x14ac:dyDescent="0.25">
      <c r="A329" s="1"/>
      <c r="B329" s="1"/>
      <c r="C329" s="1"/>
      <c r="D329" s="1"/>
      <c r="E329" s="1"/>
      <c r="F329" s="1" t="s">
        <v>474</v>
      </c>
      <c r="G329" s="1"/>
      <c r="H329" s="1"/>
      <c r="I329" s="2"/>
      <c r="J329" s="109"/>
      <c r="K329" s="2"/>
      <c r="L329" s="109"/>
      <c r="M329" s="2"/>
      <c r="N329" s="109"/>
      <c r="O329" s="2"/>
      <c r="P329" s="109"/>
      <c r="Q329" s="2"/>
    </row>
    <row r="330" spans="1:17" hidden="1" x14ac:dyDescent="0.25">
      <c r="A330" s="1"/>
      <c r="B330" s="1"/>
      <c r="C330" s="1"/>
      <c r="D330" s="1"/>
      <c r="E330" s="1"/>
      <c r="F330" s="1"/>
      <c r="G330" s="1" t="s">
        <v>475</v>
      </c>
      <c r="H330" s="1"/>
      <c r="I330" s="2">
        <v>0</v>
      </c>
      <c r="J330" s="109"/>
      <c r="K330" s="2">
        <v>3376.67</v>
      </c>
      <c r="L330" s="109"/>
      <c r="M330" s="2">
        <v>31948.32</v>
      </c>
      <c r="N330" s="109"/>
      <c r="O330" s="2">
        <v>40520.04</v>
      </c>
      <c r="P330" s="109"/>
      <c r="Q330" s="2">
        <v>40520.04</v>
      </c>
    </row>
    <row r="331" spans="1:17" hidden="1" x14ac:dyDescent="0.25">
      <c r="A331" s="1"/>
      <c r="B331" s="1"/>
      <c r="C331" s="1"/>
      <c r="D331" s="1"/>
      <c r="E331" s="1"/>
      <c r="F331" s="1"/>
      <c r="G331" s="1" t="s">
        <v>476</v>
      </c>
      <c r="H331" s="1"/>
      <c r="I331" s="2">
        <v>0</v>
      </c>
      <c r="J331" s="109"/>
      <c r="K331" s="2">
        <v>337.67</v>
      </c>
      <c r="L331" s="109"/>
      <c r="M331" s="2">
        <v>3194.82</v>
      </c>
      <c r="N331" s="109"/>
      <c r="O331" s="2">
        <v>4052.04</v>
      </c>
      <c r="P331" s="109"/>
      <c r="Q331" s="2">
        <v>4052.04</v>
      </c>
    </row>
    <row r="332" spans="1:17" hidden="1" x14ac:dyDescent="0.25">
      <c r="A332" s="1"/>
      <c r="B332" s="1"/>
      <c r="C332" s="1"/>
      <c r="D332" s="1"/>
      <c r="E332" s="1"/>
      <c r="F332" s="1"/>
      <c r="G332" s="1" t="s">
        <v>477</v>
      </c>
      <c r="H332" s="1"/>
      <c r="I332" s="2">
        <v>0</v>
      </c>
      <c r="J332" s="109"/>
      <c r="K332" s="2">
        <v>928.79</v>
      </c>
      <c r="L332" s="109"/>
      <c r="M332" s="2">
        <v>8430.17</v>
      </c>
      <c r="N332" s="109"/>
      <c r="O332" s="2">
        <v>11145.48</v>
      </c>
      <c r="P332" s="109"/>
      <c r="Q332" s="2">
        <v>11145.48</v>
      </c>
    </row>
    <row r="333" spans="1:17" hidden="1" x14ac:dyDescent="0.25">
      <c r="A333" s="1"/>
      <c r="B333" s="1"/>
      <c r="C333" s="1"/>
      <c r="D333" s="1"/>
      <c r="E333" s="1"/>
      <c r="F333" s="1"/>
      <c r="G333" s="1" t="s">
        <v>478</v>
      </c>
      <c r="H333" s="1"/>
      <c r="I333" s="2">
        <v>0</v>
      </c>
      <c r="J333" s="109"/>
      <c r="K333" s="2">
        <v>48</v>
      </c>
      <c r="L333" s="109"/>
      <c r="M333" s="2">
        <v>435.56</v>
      </c>
      <c r="N333" s="109"/>
      <c r="O333" s="2">
        <v>576</v>
      </c>
      <c r="P333" s="109"/>
      <c r="Q333" s="2">
        <v>576</v>
      </c>
    </row>
    <row r="334" spans="1:17" ht="15.75" hidden="1" thickBot="1" x14ac:dyDescent="0.3">
      <c r="A334" s="1"/>
      <c r="B334" s="1"/>
      <c r="C334" s="1"/>
      <c r="D334" s="1"/>
      <c r="E334" s="1"/>
      <c r="F334" s="1"/>
      <c r="G334" s="1" t="s">
        <v>479</v>
      </c>
      <c r="H334" s="1"/>
      <c r="I334" s="111">
        <v>0</v>
      </c>
      <c r="J334" s="109"/>
      <c r="K334" s="111">
        <v>258.32</v>
      </c>
      <c r="L334" s="109"/>
      <c r="M334" s="111">
        <v>2316.16</v>
      </c>
      <c r="N334" s="109"/>
      <c r="O334" s="111">
        <v>3099.84</v>
      </c>
      <c r="P334" s="109"/>
      <c r="Q334" s="111">
        <v>3099.84</v>
      </c>
    </row>
    <row r="335" spans="1:17" ht="15.75" hidden="1" thickBot="1" x14ac:dyDescent="0.3">
      <c r="A335" s="1"/>
      <c r="B335" s="1"/>
      <c r="C335" s="1"/>
      <c r="D335" s="1"/>
      <c r="E335" s="1"/>
      <c r="F335" s="1" t="s">
        <v>480</v>
      </c>
      <c r="G335" s="1"/>
      <c r="H335" s="1"/>
      <c r="I335" s="113">
        <f>ROUND(SUM(I329:I334),5)</f>
        <v>0</v>
      </c>
      <c r="J335" s="109"/>
      <c r="K335" s="113">
        <f>ROUND(SUM(K329:K334),5)</f>
        <v>4949.45</v>
      </c>
      <c r="L335" s="109"/>
      <c r="M335" s="113">
        <f>ROUND(SUM(M329:M334),5)</f>
        <v>46325.03</v>
      </c>
      <c r="N335" s="109"/>
      <c r="O335" s="113">
        <f>ROUND(SUM(O329:O334),5)</f>
        <v>59393.4</v>
      </c>
      <c r="P335" s="109"/>
      <c r="Q335" s="113">
        <f>ROUND(SUM(Q329:Q334),5)</f>
        <v>59393.4</v>
      </c>
    </row>
    <row r="336" spans="1:17" ht="15.75" hidden="1" thickBot="1" x14ac:dyDescent="0.3">
      <c r="A336" s="1"/>
      <c r="B336" s="1"/>
      <c r="C336" s="1"/>
      <c r="D336" s="1"/>
      <c r="E336" s="1" t="s">
        <v>481</v>
      </c>
      <c r="F336" s="1"/>
      <c r="G336" s="1"/>
      <c r="H336" s="1"/>
      <c r="I336" s="113">
        <f>ROUND(I315+I319+I328+I335,5)</f>
        <v>3237.32</v>
      </c>
      <c r="J336" s="109"/>
      <c r="K336" s="113">
        <f>ROUND(K315+K319+K328+K335,5)</f>
        <v>10213.01</v>
      </c>
      <c r="L336" s="109"/>
      <c r="M336" s="113">
        <f>ROUND(M315+M319+M328+M335,5)</f>
        <v>101621.27</v>
      </c>
      <c r="N336" s="109"/>
      <c r="O336" s="113">
        <f>ROUND(O315+O319+O328+O335,5)</f>
        <v>119563.42</v>
      </c>
      <c r="P336" s="109"/>
      <c r="Q336" s="113">
        <f>ROUND(Q315+Q319+Q328+Q335,5)</f>
        <v>119563.42</v>
      </c>
    </row>
    <row r="337" spans="1:17" ht="15.75" thickBot="1" x14ac:dyDescent="0.3">
      <c r="A337" s="1"/>
      <c r="B337" s="1"/>
      <c r="C337" s="1"/>
      <c r="D337" s="1" t="s">
        <v>482</v>
      </c>
      <c r="E337" s="1"/>
      <c r="F337" s="1"/>
      <c r="G337" s="1"/>
      <c r="H337" s="1"/>
      <c r="I337" s="113">
        <f>ROUND(I206+I241+I261+I291+I314+I336,5)</f>
        <v>52811.42</v>
      </c>
      <c r="J337" s="109"/>
      <c r="K337" s="113">
        <f>ROUND(K206+K241+K261+K291+K314+K336,5)</f>
        <v>63164.89</v>
      </c>
      <c r="L337" s="109"/>
      <c r="M337" s="113">
        <f>ROUND(M206+M241+M261+M291+M314+M336,5)</f>
        <v>824008.92</v>
      </c>
      <c r="N337" s="109"/>
      <c r="O337" s="113">
        <f>ROUND(O206+O241+O261+O291+O314+O336,5)</f>
        <v>786660.7</v>
      </c>
      <c r="P337" s="109"/>
      <c r="Q337" s="113">
        <f>ROUND(Q206+Q241+Q261+Q291+Q314+Q336,5)</f>
        <v>786660.7</v>
      </c>
    </row>
    <row r="338" spans="1:17" ht="15.75" thickBot="1" x14ac:dyDescent="0.3">
      <c r="A338" s="1"/>
      <c r="B338" s="1"/>
      <c r="C338" s="1" t="s">
        <v>18</v>
      </c>
      <c r="D338" s="1"/>
      <c r="E338" s="1"/>
      <c r="F338" s="1"/>
      <c r="G338" s="1"/>
      <c r="H338" s="1"/>
      <c r="I338" s="112">
        <f>ROUND(I35+I121+I205+I337,5)</f>
        <v>93606.28</v>
      </c>
      <c r="J338" s="109"/>
      <c r="K338" s="112">
        <f>ROUND(K35+K121+K205+K337,5)</f>
        <v>119557.69</v>
      </c>
      <c r="L338" s="109"/>
      <c r="M338" s="112">
        <f>ROUND(M35+M121+M205+M337,5)</f>
        <v>1195753.79</v>
      </c>
      <c r="N338" s="109"/>
      <c r="O338" s="112">
        <f>ROUND(O35+O121+O205+O337,5)</f>
        <v>1219399</v>
      </c>
      <c r="P338" s="109"/>
      <c r="Q338" s="112">
        <f>ROUND(Q35+Q121+Q205+Q337,5)</f>
        <v>1219399</v>
      </c>
    </row>
    <row r="339" spans="1:17" ht="15.75" thickBot="1" x14ac:dyDescent="0.3">
      <c r="A339" s="1"/>
      <c r="B339" s="74" t="s">
        <v>29</v>
      </c>
      <c r="C339" s="1"/>
      <c r="D339" s="1"/>
      <c r="E339" s="1"/>
      <c r="F339" s="1"/>
      <c r="G339" s="1"/>
      <c r="H339" s="1"/>
      <c r="I339" s="116">
        <f>ROUND(I3+I33-I338,5)</f>
        <v>22156.87</v>
      </c>
      <c r="J339" s="116"/>
      <c r="K339" s="116">
        <f>ROUND(K3+K33-K338,5)</f>
        <v>-4977.6899999999996</v>
      </c>
      <c r="L339" s="116"/>
      <c r="M339" s="116">
        <f>ROUND(M3+M33-M338,5)</f>
        <v>931.23</v>
      </c>
      <c r="N339" s="116"/>
      <c r="O339" s="116">
        <f>ROUND(O3+O33-O338,5)</f>
        <v>2000</v>
      </c>
      <c r="P339" s="116"/>
      <c r="Q339" s="116">
        <f>ROUND(Q3+Q33-Q338,5)</f>
        <v>0</v>
      </c>
    </row>
    <row r="340" spans="1:17" ht="15.75" thickTop="1" x14ac:dyDescent="0.25"/>
  </sheetData>
  <pageMargins left="0.7" right="0.7" top="0.75" bottom="0.75" header="0.1" footer="0.3"/>
  <pageSetup orientation="landscape" r:id="rId1"/>
  <headerFooter>
    <oddHeader>&amp;C&amp;"Arial,Bold"&amp;12 First Unitarian Universalist Congregation of Ann Arbor
&amp;14 General Operating Fund Budget Vs. Actual
&amp;10 December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3"/>
  <sheetViews>
    <sheetView topLeftCell="A69" workbookViewId="0">
      <selection activeCell="G6" sqref="G6"/>
    </sheetView>
  </sheetViews>
  <sheetFormatPr defaultColWidth="9.140625" defaultRowHeight="24.95" customHeight="1" x14ac:dyDescent="0.25"/>
  <cols>
    <col min="1" max="5" width="3" style="38" customWidth="1"/>
    <col min="6" max="6" width="38.85546875" style="38" customWidth="1"/>
    <col min="7" max="7" width="17.5703125" style="28" bestFit="1" customWidth="1"/>
    <col min="8" max="9" width="16.85546875" style="28" bestFit="1" customWidth="1"/>
    <col min="10" max="10" width="22.140625" style="28" customWidth="1"/>
    <col min="11" max="11" width="16.140625" style="25" bestFit="1" customWidth="1"/>
    <col min="12" max="12" width="13.5703125" style="25" bestFit="1" customWidth="1"/>
    <col min="13" max="13" width="21.85546875" style="26" customWidth="1"/>
    <col min="14" max="16384" width="9.140625" style="25"/>
  </cols>
  <sheetData>
    <row r="1" spans="1:13" s="14" customFormat="1" ht="15.75" x14ac:dyDescent="0.25">
      <c r="G1" s="19"/>
      <c r="H1" s="20" t="s">
        <v>33</v>
      </c>
      <c r="I1" s="20" t="s">
        <v>34</v>
      </c>
      <c r="J1" s="21" t="s">
        <v>164</v>
      </c>
    </row>
    <row r="2" spans="1:13" ht="16.5" thickBot="1" x14ac:dyDescent="0.3">
      <c r="A2" s="22" t="s">
        <v>58</v>
      </c>
      <c r="B2" s="22"/>
      <c r="C2" s="22"/>
      <c r="D2" s="22"/>
      <c r="E2" s="22"/>
      <c r="F2" s="22"/>
      <c r="G2" s="23" t="s">
        <v>35</v>
      </c>
      <c r="H2" s="24" t="s">
        <v>36</v>
      </c>
      <c r="I2" s="24" t="s">
        <v>36</v>
      </c>
      <c r="J2" s="24" t="s">
        <v>59</v>
      </c>
    </row>
    <row r="3" spans="1:13" ht="15.75" x14ac:dyDescent="0.25">
      <c r="A3" s="22"/>
      <c r="B3" s="22" t="s">
        <v>60</v>
      </c>
      <c r="C3" s="22"/>
      <c r="D3" s="22"/>
      <c r="E3" s="22"/>
      <c r="F3" s="22"/>
      <c r="G3" s="27"/>
    </row>
    <row r="4" spans="1:13" ht="15.75" x14ac:dyDescent="0.25">
      <c r="A4" s="22"/>
      <c r="B4" s="22"/>
      <c r="C4" s="22" t="s">
        <v>61</v>
      </c>
      <c r="D4" s="22"/>
      <c r="E4" s="22"/>
      <c r="F4" s="22"/>
      <c r="G4" s="27"/>
    </row>
    <row r="5" spans="1:13" ht="17.25" customHeight="1" x14ac:dyDescent="0.25">
      <c r="A5" s="22"/>
      <c r="B5" s="22"/>
      <c r="C5" s="22"/>
      <c r="D5" s="22" t="s">
        <v>62</v>
      </c>
      <c r="E5" s="22"/>
      <c r="F5" s="22"/>
      <c r="G5" s="27">
        <f>314164.13-755+420+6.67-48977.76</f>
        <v>264858.03999999998</v>
      </c>
      <c r="H5" s="28">
        <f>233559.66-186621.75-755+2794.85</f>
        <v>48977.760000000002</v>
      </c>
      <c r="J5" s="28">
        <f t="shared" ref="J5:J10" si="0">SUM(G5:I5)</f>
        <v>313835.8</v>
      </c>
    </row>
    <row r="6" spans="1:13" ht="15.75" x14ac:dyDescent="0.25">
      <c r="A6" s="22"/>
      <c r="B6" s="22"/>
      <c r="C6" s="22"/>
      <c r="D6" s="22" t="s">
        <v>63</v>
      </c>
      <c r="E6" s="22"/>
      <c r="F6" s="22"/>
      <c r="G6" s="48"/>
      <c r="H6" s="44">
        <v>175884.1</v>
      </c>
      <c r="I6" s="44"/>
      <c r="J6" s="44">
        <f t="shared" si="0"/>
        <v>175884.1</v>
      </c>
    </row>
    <row r="7" spans="1:13" ht="15.75" hidden="1" x14ac:dyDescent="0.25">
      <c r="A7" s="22"/>
      <c r="B7" s="22"/>
      <c r="C7" s="22"/>
      <c r="D7" s="22" t="s">
        <v>159</v>
      </c>
      <c r="E7" s="22"/>
      <c r="F7" s="22"/>
      <c r="G7" s="48"/>
      <c r="H7" s="44"/>
      <c r="I7" s="44"/>
      <c r="J7" s="44">
        <f t="shared" si="0"/>
        <v>0</v>
      </c>
    </row>
    <row r="8" spans="1:13" ht="15.75" x14ac:dyDescent="0.25">
      <c r="A8" s="22"/>
      <c r="B8" s="22"/>
      <c r="C8" s="22"/>
      <c r="D8" s="22" t="s">
        <v>135</v>
      </c>
      <c r="E8" s="22"/>
      <c r="F8" s="22"/>
      <c r="G8" s="48"/>
      <c r="H8" s="44">
        <v>5737.65</v>
      </c>
      <c r="I8" s="44"/>
      <c r="J8" s="44">
        <f t="shared" si="0"/>
        <v>5737.65</v>
      </c>
    </row>
    <row r="9" spans="1:13" ht="15.75" x14ac:dyDescent="0.25">
      <c r="A9" s="22"/>
      <c r="B9" s="22"/>
      <c r="C9" s="22" t="s">
        <v>150</v>
      </c>
      <c r="D9" s="22"/>
      <c r="E9" s="22"/>
      <c r="F9" s="22"/>
      <c r="G9" s="48"/>
      <c r="H9" s="44">
        <v>5000</v>
      </c>
      <c r="I9" s="44"/>
      <c r="J9" s="44">
        <f t="shared" si="0"/>
        <v>5000</v>
      </c>
    </row>
    <row r="10" spans="1:13" ht="15.75" x14ac:dyDescent="0.25">
      <c r="A10" s="22"/>
      <c r="B10" s="22"/>
      <c r="C10" s="22" t="s">
        <v>158</v>
      </c>
      <c r="D10" s="22"/>
      <c r="E10" s="22"/>
      <c r="F10" s="22"/>
      <c r="G10" s="36">
        <v>15000</v>
      </c>
      <c r="H10" s="29"/>
      <c r="I10" s="29"/>
      <c r="J10" s="29">
        <f t="shared" si="0"/>
        <v>15000</v>
      </c>
    </row>
    <row r="11" spans="1:13" s="31" customFormat="1" ht="17.100000000000001" customHeight="1" x14ac:dyDescent="0.25">
      <c r="A11" s="22"/>
      <c r="B11" s="22" t="s">
        <v>73</v>
      </c>
      <c r="C11" s="22"/>
      <c r="D11" s="22"/>
      <c r="E11" s="22"/>
      <c r="F11" s="22"/>
      <c r="G11" s="30">
        <f>SUM(G4:G10)</f>
        <v>279858.03999999998</v>
      </c>
      <c r="H11" s="30">
        <f>SUM(H4:H10)</f>
        <v>235599.51</v>
      </c>
      <c r="I11" s="30">
        <f>SUM(I4:I9)</f>
        <v>0</v>
      </c>
      <c r="J11" s="30">
        <f>SUM(J4:J10)</f>
        <v>515457.55000000005</v>
      </c>
      <c r="M11" s="32"/>
    </row>
    <row r="12" spans="1:13" ht="15.75" hidden="1" x14ac:dyDescent="0.25">
      <c r="A12" s="22"/>
      <c r="B12" s="22"/>
      <c r="C12" s="22" t="s">
        <v>128</v>
      </c>
      <c r="D12" s="22"/>
      <c r="E12" s="22"/>
      <c r="F12" s="22"/>
      <c r="G12" s="48"/>
      <c r="H12" s="44"/>
      <c r="I12" s="44"/>
      <c r="J12" s="44"/>
    </row>
    <row r="13" spans="1:13" ht="15.75" hidden="1" x14ac:dyDescent="0.25">
      <c r="A13" s="22"/>
      <c r="B13" s="22"/>
      <c r="C13" s="22" t="s">
        <v>129</v>
      </c>
      <c r="D13" s="22" t="s">
        <v>144</v>
      </c>
      <c r="E13" s="22"/>
      <c r="F13" s="22"/>
      <c r="G13" s="36">
        <v>0</v>
      </c>
      <c r="H13" s="29"/>
      <c r="I13" s="29"/>
      <c r="J13" s="29">
        <f t="shared" ref="J13:J24" si="1">SUM(G13:I13)</f>
        <v>0</v>
      </c>
    </row>
    <row r="14" spans="1:13" ht="15" hidden="1" customHeight="1" x14ac:dyDescent="0.25">
      <c r="A14" s="22"/>
      <c r="B14" s="22"/>
      <c r="C14" s="22"/>
      <c r="D14" s="22" t="s">
        <v>70</v>
      </c>
      <c r="E14" s="22"/>
      <c r="F14" s="22"/>
      <c r="G14" s="99">
        <v>0</v>
      </c>
      <c r="H14" s="100">
        <v>0</v>
      </c>
      <c r="I14" s="100">
        <v>0</v>
      </c>
      <c r="J14" s="100">
        <f t="shared" si="1"/>
        <v>0</v>
      </c>
    </row>
    <row r="15" spans="1:13" ht="15.75" hidden="1" x14ac:dyDescent="0.25">
      <c r="A15" s="22"/>
      <c r="B15" s="22"/>
      <c r="C15" s="22"/>
      <c r="D15" s="22"/>
      <c r="E15" s="22"/>
      <c r="F15" s="22"/>
      <c r="G15" s="48">
        <v>0</v>
      </c>
      <c r="H15" s="44"/>
      <c r="I15" s="44"/>
      <c r="J15" s="44">
        <f t="shared" si="1"/>
        <v>0</v>
      </c>
    </row>
    <row r="16" spans="1:13" ht="15.75" hidden="1" x14ac:dyDescent="0.25">
      <c r="A16" s="22"/>
      <c r="B16" s="22"/>
      <c r="C16" s="22" t="s">
        <v>140</v>
      </c>
      <c r="D16" s="22"/>
      <c r="E16" s="22"/>
      <c r="F16" s="22"/>
      <c r="G16" s="18">
        <f>+G15+G13+G14</f>
        <v>0</v>
      </c>
      <c r="H16" s="101">
        <v>0</v>
      </c>
      <c r="I16" s="101">
        <v>0</v>
      </c>
      <c r="J16" s="101">
        <f>+J15+J13+J14</f>
        <v>0</v>
      </c>
    </row>
    <row r="17" spans="1:13" ht="15.75" x14ac:dyDescent="0.25">
      <c r="A17" s="22"/>
      <c r="B17" s="22"/>
      <c r="C17" s="22" t="s">
        <v>64</v>
      </c>
      <c r="D17" s="22"/>
      <c r="E17" s="22"/>
      <c r="F17" s="22"/>
      <c r="G17" s="27"/>
    </row>
    <row r="18" spans="1:13" ht="15.75" hidden="1" x14ac:dyDescent="0.25">
      <c r="A18" s="22"/>
      <c r="B18" s="22"/>
      <c r="C18" s="22"/>
      <c r="D18" s="22" t="s">
        <v>65</v>
      </c>
      <c r="E18" s="22"/>
      <c r="F18" s="22"/>
      <c r="G18" s="27"/>
      <c r="I18" s="28">
        <v>0</v>
      </c>
      <c r="J18" s="28">
        <f t="shared" si="1"/>
        <v>0</v>
      </c>
    </row>
    <row r="19" spans="1:13" ht="15.75" hidden="1" x14ac:dyDescent="0.25">
      <c r="A19" s="22"/>
      <c r="B19" s="22"/>
      <c r="C19" s="22"/>
      <c r="D19" s="22" t="s">
        <v>130</v>
      </c>
      <c r="E19" s="22"/>
      <c r="F19" s="22"/>
      <c r="G19" s="27">
        <v>0</v>
      </c>
      <c r="J19" s="28">
        <f t="shared" si="1"/>
        <v>0</v>
      </c>
    </row>
    <row r="20" spans="1:13" ht="15.75" hidden="1" x14ac:dyDescent="0.25">
      <c r="A20" s="22"/>
      <c r="B20" s="22"/>
      <c r="C20" s="22"/>
      <c r="D20" s="22" t="s">
        <v>130</v>
      </c>
      <c r="E20" s="22"/>
      <c r="F20" s="22"/>
      <c r="G20" s="27">
        <v>0</v>
      </c>
      <c r="J20" s="28">
        <f t="shared" si="1"/>
        <v>0</v>
      </c>
    </row>
    <row r="21" spans="1:13" ht="15.75" x14ac:dyDescent="0.25">
      <c r="A21" s="22"/>
      <c r="B21" s="22"/>
      <c r="C21" s="22"/>
      <c r="D21" s="22" t="s">
        <v>66</v>
      </c>
      <c r="E21" s="22"/>
      <c r="F21" s="22"/>
      <c r="I21" s="27">
        <v>326938.57</v>
      </c>
      <c r="J21" s="28">
        <f t="shared" si="1"/>
        <v>326938.57</v>
      </c>
      <c r="K21" s="33"/>
    </row>
    <row r="22" spans="1:13" ht="15.75" x14ac:dyDescent="0.25">
      <c r="A22" s="22"/>
      <c r="B22" s="22"/>
      <c r="C22" s="22"/>
      <c r="D22" s="22" t="s">
        <v>67</v>
      </c>
      <c r="E22" s="22"/>
      <c r="F22" s="22"/>
      <c r="I22" s="27">
        <v>101715.76</v>
      </c>
      <c r="J22" s="28">
        <f t="shared" si="1"/>
        <v>101715.76</v>
      </c>
      <c r="K22" s="33"/>
    </row>
    <row r="23" spans="1:13" ht="15.75" x14ac:dyDescent="0.25">
      <c r="A23" s="22"/>
      <c r="B23" s="22"/>
      <c r="C23" s="22"/>
      <c r="D23" s="22" t="s">
        <v>68</v>
      </c>
      <c r="E23" s="22"/>
      <c r="F23" s="22"/>
      <c r="I23" s="27">
        <v>26.14</v>
      </c>
      <c r="J23" s="28">
        <f t="shared" si="1"/>
        <v>26.14</v>
      </c>
      <c r="K23" s="33"/>
    </row>
    <row r="24" spans="1:13" ht="15.75" x14ac:dyDescent="0.25">
      <c r="A24" s="22"/>
      <c r="B24" s="22"/>
      <c r="C24" s="22"/>
      <c r="D24" s="22" t="s">
        <v>69</v>
      </c>
      <c r="E24" s="22"/>
      <c r="F24" s="22"/>
      <c r="I24" s="27">
        <v>782611.89</v>
      </c>
      <c r="J24" s="28">
        <f t="shared" si="1"/>
        <v>782611.89</v>
      </c>
      <c r="K24" s="33"/>
    </row>
    <row r="25" spans="1:13" ht="15.75" hidden="1" x14ac:dyDescent="0.25">
      <c r="A25" s="22"/>
      <c r="B25" s="22"/>
      <c r="C25" s="22"/>
      <c r="D25" s="22" t="s">
        <v>70</v>
      </c>
      <c r="E25" s="22"/>
      <c r="F25" s="22"/>
      <c r="G25" s="27">
        <v>0</v>
      </c>
      <c r="I25" s="27"/>
      <c r="J25" s="28">
        <f>SUM(G25:I25)</f>
        <v>0</v>
      </c>
    </row>
    <row r="26" spans="1:13" ht="16.5" thickBot="1" x14ac:dyDescent="0.3">
      <c r="A26" s="22"/>
      <c r="B26" s="22"/>
      <c r="C26" s="22"/>
      <c r="D26" s="22" t="s">
        <v>71</v>
      </c>
      <c r="E26" s="22"/>
      <c r="F26" s="22"/>
      <c r="G26" s="34"/>
      <c r="I26" s="34">
        <v>4751.6000000000004</v>
      </c>
      <c r="J26" s="29">
        <f>SUM(G26:I26)</f>
        <v>4751.6000000000004</v>
      </c>
    </row>
    <row r="27" spans="1:13" ht="16.5" thickBot="1" x14ac:dyDescent="0.3">
      <c r="A27" s="22"/>
      <c r="B27" s="22"/>
      <c r="C27" s="22" t="s">
        <v>72</v>
      </c>
      <c r="D27" s="22"/>
      <c r="E27" s="22"/>
      <c r="F27" s="22"/>
      <c r="G27" s="35">
        <f>SUM(G19:G26)</f>
        <v>0</v>
      </c>
      <c r="H27" s="35">
        <f>SUM(H19:H26)</f>
        <v>0</v>
      </c>
      <c r="I27" s="35">
        <f>SUM(I18:I26)</f>
        <v>1216043.9600000002</v>
      </c>
      <c r="J27" s="35">
        <f>SUM(J18:J26)</f>
        <v>1216043.9600000002</v>
      </c>
    </row>
    <row r="28" spans="1:13" s="31" customFormat="1" ht="15.75" x14ac:dyDescent="0.25">
      <c r="A28" s="22"/>
      <c r="B28" s="22" t="s">
        <v>73</v>
      </c>
      <c r="C28" s="22"/>
      <c r="D28" s="22"/>
      <c r="E28" s="22"/>
      <c r="F28" s="22"/>
      <c r="G28" s="30">
        <f>+G27+G11+G12+G16</f>
        <v>279858.03999999998</v>
      </c>
      <c r="H28" s="30">
        <f>+H27+H11+H12+H14</f>
        <v>235599.51</v>
      </c>
      <c r="I28" s="30">
        <f>+I27+I11+I12</f>
        <v>1216043.9600000002</v>
      </c>
      <c r="J28" s="30">
        <f>+J27+J11+J12+J16</f>
        <v>1731501.5100000002</v>
      </c>
      <c r="M28" s="32"/>
    </row>
    <row r="29" spans="1:13" ht="15.75" x14ac:dyDescent="0.25">
      <c r="A29" s="22"/>
      <c r="B29" s="22" t="s">
        <v>74</v>
      </c>
      <c r="C29" s="22"/>
      <c r="D29" s="22"/>
      <c r="E29" s="22"/>
      <c r="F29" s="22"/>
      <c r="G29" s="27"/>
    </row>
    <row r="30" spans="1:13" ht="15.75" x14ac:dyDescent="0.25">
      <c r="A30" s="22"/>
      <c r="B30" s="22"/>
      <c r="C30" s="22"/>
      <c r="D30" s="22" t="s">
        <v>77</v>
      </c>
      <c r="E30" s="22"/>
      <c r="F30" s="22"/>
      <c r="G30" s="27">
        <v>348669.66</v>
      </c>
      <c r="J30" s="27">
        <f t="shared" ref="J30:J38" si="2">SUM(G30:I30)</f>
        <v>348669.66</v>
      </c>
    </row>
    <row r="31" spans="1:13" ht="15.75" x14ac:dyDescent="0.25">
      <c r="A31" s="22"/>
      <c r="B31" s="22"/>
      <c r="C31" s="22"/>
      <c r="D31" s="22" t="s">
        <v>127</v>
      </c>
      <c r="E31" s="22"/>
      <c r="F31" s="22"/>
      <c r="G31" s="27">
        <v>3393681.04</v>
      </c>
      <c r="J31" s="27">
        <f t="shared" si="2"/>
        <v>3393681.04</v>
      </c>
    </row>
    <row r="32" spans="1:13" ht="15.75" x14ac:dyDescent="0.25">
      <c r="A32" s="22"/>
      <c r="B32" s="22"/>
      <c r="C32" s="22"/>
      <c r="D32" s="22" t="s">
        <v>126</v>
      </c>
      <c r="E32" s="22"/>
      <c r="F32" s="22"/>
      <c r="G32" s="27">
        <v>3201710.98</v>
      </c>
      <c r="J32" s="27">
        <f t="shared" si="2"/>
        <v>3201710.98</v>
      </c>
    </row>
    <row r="33" spans="1:13" ht="15.75" x14ac:dyDescent="0.25">
      <c r="A33" s="22"/>
      <c r="B33" s="22"/>
      <c r="C33" s="22"/>
      <c r="D33" s="22" t="s">
        <v>123</v>
      </c>
      <c r="E33" s="22"/>
      <c r="F33" s="22"/>
      <c r="G33" s="27">
        <v>16085.3</v>
      </c>
      <c r="J33" s="27">
        <f t="shared" si="2"/>
        <v>16085.3</v>
      </c>
    </row>
    <row r="34" spans="1:13" ht="15.75" x14ac:dyDescent="0.25">
      <c r="A34" s="22"/>
      <c r="B34" s="22"/>
      <c r="C34" s="22"/>
      <c r="D34" s="22" t="s">
        <v>76</v>
      </c>
      <c r="E34" s="22"/>
      <c r="F34" s="22"/>
      <c r="G34" s="27">
        <v>194348.21</v>
      </c>
      <c r="J34" s="27">
        <f t="shared" si="2"/>
        <v>194348.21</v>
      </c>
    </row>
    <row r="35" spans="1:13" ht="15.75" x14ac:dyDescent="0.25">
      <c r="A35" s="22"/>
      <c r="B35" s="22"/>
      <c r="C35" s="22"/>
      <c r="D35" s="22" t="s">
        <v>125</v>
      </c>
      <c r="E35" s="22"/>
      <c r="F35" s="22"/>
      <c r="G35" s="27">
        <f>65838.3+665657.86</f>
        <v>731496.16</v>
      </c>
      <c r="J35" s="27">
        <f t="shared" si="2"/>
        <v>731496.16</v>
      </c>
    </row>
    <row r="36" spans="1:13" ht="15.75" x14ac:dyDescent="0.25">
      <c r="A36" s="22"/>
      <c r="B36" s="22"/>
      <c r="C36" s="22"/>
      <c r="D36" s="22" t="s">
        <v>132</v>
      </c>
      <c r="E36" s="22"/>
      <c r="F36" s="22"/>
      <c r="G36" s="36">
        <v>63596.34</v>
      </c>
      <c r="H36" s="29"/>
      <c r="I36" s="29"/>
      <c r="J36" s="36">
        <f t="shared" si="2"/>
        <v>63596.34</v>
      </c>
    </row>
    <row r="37" spans="1:13" ht="16.5" thickBot="1" x14ac:dyDescent="0.3">
      <c r="A37" s="25"/>
      <c r="B37" s="25"/>
      <c r="C37" s="25"/>
      <c r="D37" s="25"/>
      <c r="E37" s="22" t="s">
        <v>75</v>
      </c>
      <c r="F37" s="22"/>
      <c r="G37" s="71">
        <v>-4523564.5999999996</v>
      </c>
      <c r="H37" s="75"/>
      <c r="I37" s="75"/>
      <c r="J37" s="71">
        <f t="shared" si="2"/>
        <v>-4523564.5999999996</v>
      </c>
    </row>
    <row r="38" spans="1:13" ht="16.5" thickBot="1" x14ac:dyDescent="0.3">
      <c r="A38" s="22"/>
      <c r="B38" s="22" t="s">
        <v>78</v>
      </c>
      <c r="C38" s="22"/>
      <c r="D38" s="22"/>
      <c r="E38" s="22"/>
      <c r="F38" s="22"/>
      <c r="G38" s="37">
        <f>SUM(G30:G37)</f>
        <v>3426023.09</v>
      </c>
      <c r="H38" s="77"/>
      <c r="I38" s="77"/>
      <c r="J38" s="37">
        <f t="shared" si="2"/>
        <v>3426023.09</v>
      </c>
    </row>
    <row r="39" spans="1:13" ht="16.5" thickBot="1" x14ac:dyDescent="0.3">
      <c r="A39" s="22" t="s">
        <v>79</v>
      </c>
      <c r="G39" s="39">
        <f>+G38+G28</f>
        <v>3705881.13</v>
      </c>
      <c r="H39" s="76">
        <f>+H38+H28</f>
        <v>235599.51</v>
      </c>
      <c r="I39" s="76">
        <f>+I38+I28</f>
        <v>1216043.9600000002</v>
      </c>
      <c r="J39" s="39">
        <f>+J38+J28</f>
        <v>5157524.5999999996</v>
      </c>
      <c r="L39" s="45"/>
    </row>
    <row r="40" spans="1:13" ht="16.5" thickTop="1" x14ac:dyDescent="0.25">
      <c r="A40" s="40"/>
      <c r="B40" s="40"/>
      <c r="C40" s="40"/>
      <c r="D40" s="40"/>
      <c r="E40" s="40"/>
      <c r="F40" s="40"/>
      <c r="G40" s="30"/>
      <c r="K40" s="45"/>
      <c r="L40" s="45"/>
    </row>
    <row r="41" spans="1:13" s="40" customFormat="1" ht="16.5" customHeight="1" x14ac:dyDescent="0.25">
      <c r="A41" s="22" t="s">
        <v>80</v>
      </c>
      <c r="B41" s="25"/>
      <c r="C41" s="25"/>
      <c r="D41" s="22"/>
      <c r="E41" s="22"/>
      <c r="F41" s="22"/>
      <c r="G41" s="41"/>
      <c r="H41" s="30"/>
      <c r="I41" s="30"/>
      <c r="J41" s="30"/>
      <c r="L41" s="25"/>
      <c r="M41" s="42"/>
    </row>
    <row r="42" spans="1:13" s="40" customFormat="1" ht="16.5" customHeight="1" x14ac:dyDescent="0.25">
      <c r="A42" s="22"/>
      <c r="B42" s="22" t="s">
        <v>81</v>
      </c>
      <c r="C42" s="25"/>
      <c r="D42" s="22"/>
      <c r="E42" s="22"/>
      <c r="F42" s="22"/>
      <c r="G42" s="27"/>
      <c r="H42" s="30"/>
      <c r="I42" s="30"/>
      <c r="J42" s="30"/>
      <c r="M42" s="42"/>
    </row>
    <row r="43" spans="1:13" s="40" customFormat="1" ht="15.75" customHeight="1" x14ac:dyDescent="0.25">
      <c r="A43" s="25"/>
      <c r="B43" s="25"/>
      <c r="C43" s="22"/>
      <c r="D43" s="43" t="s">
        <v>168</v>
      </c>
      <c r="E43" s="43"/>
      <c r="F43" s="43"/>
      <c r="G43" s="28">
        <v>3816.99</v>
      </c>
      <c r="H43" s="27"/>
      <c r="I43" s="30"/>
      <c r="J43" s="27">
        <f t="shared" ref="J43:J49" si="3">SUM(G43:I43)</f>
        <v>3816.99</v>
      </c>
      <c r="M43" s="42"/>
    </row>
    <row r="44" spans="1:13" s="40" customFormat="1" ht="15.75" customHeight="1" x14ac:dyDescent="0.25">
      <c r="A44" s="25"/>
      <c r="B44" s="25"/>
      <c r="C44" s="22"/>
      <c r="D44" s="43" t="s">
        <v>485</v>
      </c>
      <c r="E44" s="43"/>
      <c r="F44" s="43"/>
      <c r="G44" s="28">
        <v>9545.25</v>
      </c>
      <c r="H44" s="27"/>
      <c r="I44" s="30"/>
      <c r="J44" s="27">
        <v>9545.25</v>
      </c>
      <c r="M44" s="42"/>
    </row>
    <row r="45" spans="1:13" s="40" customFormat="1" ht="16.5" customHeight="1" x14ac:dyDescent="0.25">
      <c r="A45" s="25"/>
      <c r="B45" s="25"/>
      <c r="C45" s="22"/>
      <c r="D45" s="43" t="s">
        <v>136</v>
      </c>
      <c r="E45" s="43"/>
      <c r="F45" s="43"/>
      <c r="G45" s="44">
        <v>2800</v>
      </c>
      <c r="H45" s="48"/>
      <c r="I45" s="18"/>
      <c r="J45" s="48">
        <f t="shared" si="3"/>
        <v>2800</v>
      </c>
      <c r="M45" s="42"/>
    </row>
    <row r="46" spans="1:13" s="40" customFormat="1" ht="16.5" customHeight="1" x14ac:dyDescent="0.25">
      <c r="A46" s="25"/>
      <c r="B46" s="25"/>
      <c r="C46" s="22"/>
      <c r="D46" s="22" t="s">
        <v>141</v>
      </c>
      <c r="F46" s="22"/>
      <c r="G46" s="44">
        <v>3000</v>
      </c>
      <c r="H46" s="48"/>
      <c r="I46" s="18"/>
      <c r="J46" s="48">
        <f t="shared" si="3"/>
        <v>3000</v>
      </c>
      <c r="M46" s="42"/>
    </row>
    <row r="47" spans="1:13" s="40" customFormat="1" ht="16.5" customHeight="1" x14ac:dyDescent="0.25">
      <c r="A47" s="25"/>
      <c r="B47" s="25"/>
      <c r="C47" s="22"/>
      <c r="D47" s="43" t="s">
        <v>157</v>
      </c>
      <c r="E47" s="43"/>
      <c r="F47" s="43"/>
      <c r="G47" s="44">
        <f>147300-32300</f>
        <v>115000</v>
      </c>
      <c r="H47" s="48"/>
      <c r="I47" s="18"/>
      <c r="J47" s="48">
        <f t="shared" si="3"/>
        <v>115000</v>
      </c>
      <c r="M47" s="42"/>
    </row>
    <row r="48" spans="1:13" s="40" customFormat="1" ht="16.5" hidden="1" customHeight="1" x14ac:dyDescent="0.25">
      <c r="A48" s="22"/>
      <c r="B48" s="22"/>
      <c r="C48" s="22"/>
      <c r="D48" s="22" t="s">
        <v>151</v>
      </c>
      <c r="E48" s="22"/>
      <c r="F48" s="22"/>
      <c r="G48" s="48">
        <v>0</v>
      </c>
      <c r="H48" s="48"/>
      <c r="I48" s="18"/>
      <c r="J48" s="48">
        <f t="shared" si="3"/>
        <v>0</v>
      </c>
      <c r="M48" s="42"/>
    </row>
    <row r="49" spans="1:13" s="40" customFormat="1" ht="16.5" customHeight="1" x14ac:dyDescent="0.25">
      <c r="A49" s="22"/>
      <c r="B49" s="22"/>
      <c r="C49" s="22"/>
      <c r="D49" s="22" t="s">
        <v>163</v>
      </c>
      <c r="E49" s="22"/>
      <c r="F49" s="22"/>
      <c r="G49" s="36">
        <v>105533.5</v>
      </c>
      <c r="H49" s="36"/>
      <c r="I49" s="52"/>
      <c r="J49" s="36">
        <f t="shared" si="3"/>
        <v>105533.5</v>
      </c>
      <c r="M49" s="42"/>
    </row>
    <row r="50" spans="1:13" ht="16.5" customHeight="1" x14ac:dyDescent="0.25">
      <c r="A50" s="22"/>
      <c r="B50" s="22"/>
      <c r="C50" s="22" t="s">
        <v>82</v>
      </c>
      <c r="D50" s="22"/>
      <c r="E50" s="22"/>
      <c r="F50" s="22"/>
      <c r="G50" s="30">
        <f>SUM(G43:G49)</f>
        <v>239695.74</v>
      </c>
      <c r="H50" s="30">
        <f>SUM(H43:H49)</f>
        <v>0</v>
      </c>
      <c r="I50" s="30">
        <f>SUM(I43:I49)</f>
        <v>0</v>
      </c>
      <c r="J50" s="30">
        <f>SUM(J43:J49)</f>
        <v>239695.74</v>
      </c>
    </row>
    <row r="51" spans="1:13" ht="16.5" customHeight="1" x14ac:dyDescent="0.25">
      <c r="A51" s="22"/>
      <c r="B51" s="22"/>
      <c r="C51" s="22" t="s">
        <v>83</v>
      </c>
      <c r="D51" s="25"/>
      <c r="E51" s="25"/>
      <c r="F51" s="25"/>
    </row>
    <row r="52" spans="1:13" ht="16.5" hidden="1" customHeight="1" x14ac:dyDescent="0.25">
      <c r="A52" s="22"/>
      <c r="B52" s="22"/>
      <c r="C52" s="22"/>
      <c r="D52" s="22" t="s">
        <v>84</v>
      </c>
      <c r="E52" s="22"/>
      <c r="F52" s="22"/>
      <c r="G52" s="27">
        <v>0</v>
      </c>
      <c r="I52" s="27"/>
      <c r="J52" s="27">
        <f>SUM(G52:I52)</f>
        <v>0</v>
      </c>
    </row>
    <row r="53" spans="1:13" ht="16.5" hidden="1" customHeight="1" x14ac:dyDescent="0.25">
      <c r="A53" s="22"/>
      <c r="B53" s="22"/>
      <c r="C53" s="22"/>
      <c r="D53" s="22" t="s">
        <v>85</v>
      </c>
      <c r="E53" s="22"/>
      <c r="F53" s="22"/>
      <c r="G53" s="27">
        <v>0</v>
      </c>
      <c r="I53" s="27"/>
      <c r="J53" s="27">
        <f>SUM(G53:I53)</f>
        <v>0</v>
      </c>
    </row>
    <row r="54" spans="1:13" ht="16.5" hidden="1" customHeight="1" x14ac:dyDescent="0.25">
      <c r="A54" s="22"/>
      <c r="B54" s="22"/>
      <c r="C54" s="22"/>
      <c r="D54" s="22" t="s">
        <v>86</v>
      </c>
      <c r="E54" s="22"/>
      <c r="F54" s="22"/>
      <c r="G54" s="27">
        <v>0</v>
      </c>
      <c r="J54" s="27">
        <f>SUM(G54:I54)</f>
        <v>0</v>
      </c>
    </row>
    <row r="55" spans="1:13" ht="16.5" customHeight="1" x14ac:dyDescent="0.25">
      <c r="A55" s="22"/>
      <c r="B55" s="22"/>
      <c r="C55" s="22"/>
      <c r="D55" s="22" t="s">
        <v>124</v>
      </c>
      <c r="E55" s="22"/>
      <c r="F55" s="22"/>
      <c r="G55" s="36">
        <v>859667.54</v>
      </c>
      <c r="H55" s="29"/>
      <c r="I55" s="29"/>
      <c r="J55" s="36">
        <f>SUM(G55:I55)</f>
        <v>859667.54</v>
      </c>
    </row>
    <row r="56" spans="1:13" ht="16.5" customHeight="1" thickBot="1" x14ac:dyDescent="0.3">
      <c r="A56" s="22"/>
      <c r="B56" s="25"/>
      <c r="C56" s="22" t="s">
        <v>87</v>
      </c>
      <c r="D56" s="22"/>
      <c r="E56" s="22"/>
      <c r="F56" s="22"/>
      <c r="G56" s="37">
        <f>SUM(G52:G55)</f>
        <v>859667.54</v>
      </c>
      <c r="H56" s="37">
        <f>SUM(H52:H55)</f>
        <v>0</v>
      </c>
      <c r="I56" s="37">
        <f>SUM(I52:I55)</f>
        <v>0</v>
      </c>
      <c r="J56" s="37">
        <f>SUM(J52:J55)</f>
        <v>859667.54</v>
      </c>
    </row>
    <row r="57" spans="1:13" ht="15.75" x14ac:dyDescent="0.25">
      <c r="A57" s="22"/>
      <c r="B57" s="22" t="s">
        <v>88</v>
      </c>
      <c r="C57" s="22"/>
      <c r="D57" s="22"/>
      <c r="E57" s="22"/>
      <c r="F57" s="22"/>
      <c r="G57" s="18">
        <f>+G56+G50</f>
        <v>1099363.28</v>
      </c>
      <c r="H57" s="18">
        <f>+H56+H50</f>
        <v>0</v>
      </c>
      <c r="I57" s="18">
        <f>+I56+I50</f>
        <v>0</v>
      </c>
      <c r="J57" s="18">
        <f>+J56+J50</f>
        <v>1099363.28</v>
      </c>
    </row>
    <row r="58" spans="1:13" ht="15.75" hidden="1" x14ac:dyDescent="0.25">
      <c r="A58" s="25"/>
      <c r="B58" s="22"/>
      <c r="C58" s="22"/>
      <c r="D58" s="22"/>
      <c r="E58" s="22"/>
      <c r="F58" s="22"/>
      <c r="G58" s="18"/>
      <c r="H58" s="44"/>
      <c r="I58" s="44"/>
    </row>
    <row r="59" spans="1:13" s="40" customFormat="1" ht="16.5" hidden="1" thickBot="1" x14ac:dyDescent="0.3">
      <c r="A59" s="25"/>
      <c r="B59" s="31" t="s">
        <v>89</v>
      </c>
      <c r="C59" s="22"/>
      <c r="D59" s="22"/>
      <c r="E59" s="22"/>
      <c r="F59" s="22"/>
      <c r="G59" s="37">
        <f>+G39-G57</f>
        <v>2606517.8499999996</v>
      </c>
      <c r="H59" s="37">
        <f>+H39-H57</f>
        <v>235599.51</v>
      </c>
      <c r="I59" s="37">
        <f>+I39-I57</f>
        <v>1216043.9600000002</v>
      </c>
      <c r="J59" s="37">
        <f>SUM(G59:I59)</f>
        <v>4058161.3199999994</v>
      </c>
      <c r="K59" s="45"/>
      <c r="M59" s="42"/>
    </row>
    <row r="60" spans="1:13" s="40" customFormat="1" ht="15.75" x14ac:dyDescent="0.25">
      <c r="A60" s="31"/>
      <c r="B60" s="31" t="s">
        <v>90</v>
      </c>
      <c r="C60" s="43"/>
      <c r="D60" s="31"/>
      <c r="E60" s="43"/>
      <c r="F60" s="43"/>
      <c r="G60" s="46"/>
      <c r="H60" s="18"/>
      <c r="I60" s="18"/>
      <c r="J60" s="30"/>
      <c r="K60" s="45"/>
      <c r="M60" s="42"/>
    </row>
    <row r="61" spans="1:13" s="40" customFormat="1" ht="15.75" x14ac:dyDescent="0.25">
      <c r="A61" s="31"/>
      <c r="B61" s="31"/>
      <c r="C61" s="43" t="s">
        <v>91</v>
      </c>
      <c r="D61" s="31"/>
      <c r="E61" s="43"/>
      <c r="F61" s="43"/>
      <c r="G61" s="46">
        <f>+G38-G56</f>
        <v>2566355.5499999998</v>
      </c>
      <c r="H61" s="18"/>
      <c r="I61" s="18"/>
      <c r="J61" s="30">
        <f>SUM(G61:I61)</f>
        <v>2566355.5499999998</v>
      </c>
      <c r="K61" s="45"/>
      <c r="M61" s="42"/>
    </row>
    <row r="62" spans="1:13" s="40" customFormat="1" ht="15.75" hidden="1" x14ac:dyDescent="0.25">
      <c r="A62" s="31"/>
      <c r="B62" s="31"/>
      <c r="C62" s="43" t="s">
        <v>119</v>
      </c>
      <c r="D62" s="31"/>
      <c r="E62" s="43"/>
      <c r="F62" s="43"/>
      <c r="G62" s="46"/>
      <c r="H62" s="18">
        <v>0</v>
      </c>
      <c r="I62" s="18"/>
      <c r="J62" s="30">
        <f t="shared" ref="J62:J97" si="4">SUM(G62:I62)</f>
        <v>0</v>
      </c>
      <c r="K62" s="45"/>
      <c r="M62" s="42"/>
    </row>
    <row r="63" spans="1:13" s="40" customFormat="1" ht="21.6" customHeight="1" x14ac:dyDescent="0.25">
      <c r="A63" s="31"/>
      <c r="B63" s="31"/>
      <c r="C63" s="43" t="s">
        <v>92</v>
      </c>
      <c r="D63" s="31"/>
      <c r="E63" s="43"/>
      <c r="F63" s="43"/>
      <c r="G63" s="46"/>
      <c r="H63" s="18">
        <v>1945.3</v>
      </c>
      <c r="I63" s="18"/>
      <c r="J63" s="30">
        <f t="shared" si="4"/>
        <v>1945.3</v>
      </c>
      <c r="K63" s="45"/>
      <c r="M63" s="42"/>
    </row>
    <row r="64" spans="1:13" s="40" customFormat="1" ht="15.75" x14ac:dyDescent="0.25">
      <c r="A64" s="31"/>
      <c r="B64" s="31"/>
      <c r="C64" s="43" t="s">
        <v>93</v>
      </c>
      <c r="D64" s="31"/>
      <c r="E64" s="43"/>
      <c r="F64" s="43"/>
      <c r="G64" s="46"/>
      <c r="H64" s="18">
        <f>8058.41-750</f>
        <v>7308.41</v>
      </c>
      <c r="I64" s="18"/>
      <c r="J64" s="30">
        <f t="shared" si="4"/>
        <v>7308.41</v>
      </c>
      <c r="K64" s="45"/>
      <c r="M64" s="42"/>
    </row>
    <row r="65" spans="1:13" s="40" customFormat="1" ht="15.75" x14ac:dyDescent="0.25">
      <c r="A65" s="31"/>
      <c r="B65" s="31"/>
      <c r="C65" s="43" t="s">
        <v>143</v>
      </c>
      <c r="D65" s="31"/>
      <c r="E65" s="43"/>
      <c r="F65" s="43"/>
      <c r="G65" s="46"/>
      <c r="H65" s="18">
        <v>3500</v>
      </c>
      <c r="I65" s="18"/>
      <c r="J65" s="30">
        <f t="shared" ref="J65" si="5">SUM(G65:I65)</f>
        <v>3500</v>
      </c>
      <c r="K65" s="45"/>
      <c r="M65" s="42"/>
    </row>
    <row r="66" spans="1:13" s="40" customFormat="1" ht="15.75" x14ac:dyDescent="0.25">
      <c r="A66" s="31"/>
      <c r="B66" s="31"/>
      <c r="C66" s="43" t="s">
        <v>121</v>
      </c>
      <c r="D66" s="31"/>
      <c r="E66" s="43"/>
      <c r="F66" s="43"/>
      <c r="G66" s="46"/>
      <c r="H66" s="18">
        <f>61013.86-1000</f>
        <v>60013.86</v>
      </c>
      <c r="I66" s="18"/>
      <c r="J66" s="30">
        <f t="shared" si="4"/>
        <v>60013.86</v>
      </c>
      <c r="K66" s="45"/>
      <c r="M66" s="42"/>
    </row>
    <row r="67" spans="1:13" s="40" customFormat="1" ht="15.75" x14ac:dyDescent="0.25">
      <c r="A67" s="31"/>
      <c r="B67" s="31"/>
      <c r="C67" s="43" t="s">
        <v>162</v>
      </c>
      <c r="D67" s="31"/>
      <c r="E67" s="43"/>
      <c r="F67" s="43"/>
      <c r="G67" s="46"/>
      <c r="H67" s="18">
        <v>1426</v>
      </c>
      <c r="I67" s="18"/>
      <c r="J67" s="30">
        <f t="shared" ref="J67" si="6">SUM(G67:I67)</f>
        <v>1426</v>
      </c>
      <c r="K67" s="45"/>
      <c r="M67" s="42"/>
    </row>
    <row r="68" spans="1:13" s="40" customFormat="1" ht="15.75" x14ac:dyDescent="0.25">
      <c r="A68" s="31"/>
      <c r="B68" s="31"/>
      <c r="C68" s="43" t="s">
        <v>94</v>
      </c>
      <c r="D68" s="31"/>
      <c r="E68" s="43"/>
      <c r="F68" s="43"/>
      <c r="G68" s="46"/>
      <c r="H68" s="18">
        <v>61623.46</v>
      </c>
      <c r="I68" s="18"/>
      <c r="J68" s="30">
        <f t="shared" si="4"/>
        <v>61623.46</v>
      </c>
      <c r="K68" s="45"/>
      <c r="M68" s="42"/>
    </row>
    <row r="69" spans="1:13" s="40" customFormat="1" ht="15.75" x14ac:dyDescent="0.25">
      <c r="A69" s="31"/>
      <c r="B69" s="31"/>
      <c r="C69" s="43" t="s">
        <v>139</v>
      </c>
      <c r="D69" s="31"/>
      <c r="E69" s="43"/>
      <c r="F69" s="43"/>
      <c r="G69" s="46"/>
      <c r="H69" s="18">
        <v>189.89</v>
      </c>
      <c r="I69" s="18"/>
      <c r="J69" s="30">
        <f t="shared" ref="J69:J70" si="7">SUM(G69:I69)</f>
        <v>189.89</v>
      </c>
      <c r="K69" s="45"/>
      <c r="M69" s="42"/>
    </row>
    <row r="70" spans="1:13" s="40" customFormat="1" ht="15.75" hidden="1" x14ac:dyDescent="0.25">
      <c r="A70" s="31"/>
      <c r="B70" s="31"/>
      <c r="C70" s="43"/>
      <c r="D70" s="31"/>
      <c r="E70" s="43"/>
      <c r="F70" s="43"/>
      <c r="G70" s="46"/>
      <c r="H70" s="18">
        <v>0</v>
      </c>
      <c r="I70" s="18"/>
      <c r="J70" s="30">
        <f t="shared" si="7"/>
        <v>0</v>
      </c>
      <c r="K70" s="45"/>
      <c r="M70" s="42"/>
    </row>
    <row r="71" spans="1:13" s="40" customFormat="1" ht="15.75" x14ac:dyDescent="0.25">
      <c r="A71" s="31"/>
      <c r="B71" s="31"/>
      <c r="C71" s="43" t="s">
        <v>95</v>
      </c>
      <c r="D71" s="31"/>
      <c r="E71" s="43"/>
      <c r="F71" s="43"/>
      <c r="G71" s="46"/>
      <c r="H71" s="18">
        <v>2626.14</v>
      </c>
      <c r="I71" s="18"/>
      <c r="J71" s="30">
        <f t="shared" si="4"/>
        <v>2626.14</v>
      </c>
      <c r="K71" s="45"/>
      <c r="M71" s="42"/>
    </row>
    <row r="72" spans="1:13" s="40" customFormat="1" ht="15.75" x14ac:dyDescent="0.25">
      <c r="A72" s="31"/>
      <c r="B72" s="31"/>
      <c r="C72" s="43" t="s">
        <v>96</v>
      </c>
      <c r="D72" s="31"/>
      <c r="E72" s="43"/>
      <c r="F72" s="43"/>
      <c r="G72" s="46"/>
      <c r="H72" s="18">
        <v>4370.93</v>
      </c>
      <c r="I72" s="18"/>
      <c r="J72" s="30">
        <f t="shared" si="4"/>
        <v>4370.93</v>
      </c>
      <c r="K72" s="45"/>
      <c r="M72" s="42"/>
    </row>
    <row r="73" spans="1:13" s="40" customFormat="1" ht="15.75" x14ac:dyDescent="0.25">
      <c r="A73" s="31"/>
      <c r="B73" s="31"/>
      <c r="C73" s="43" t="s">
        <v>131</v>
      </c>
      <c r="D73" s="31"/>
      <c r="E73" s="43"/>
      <c r="F73" s="43"/>
      <c r="G73" s="46"/>
      <c r="H73" s="18">
        <v>0</v>
      </c>
      <c r="I73" s="18"/>
      <c r="J73" s="30">
        <f>SUM(G73:I73)</f>
        <v>0</v>
      </c>
      <c r="K73" s="45"/>
      <c r="M73" s="42"/>
    </row>
    <row r="74" spans="1:13" s="40" customFormat="1" ht="15.75" x14ac:dyDescent="0.25">
      <c r="A74" s="31"/>
      <c r="B74" s="31"/>
      <c r="C74" s="43" t="s">
        <v>122</v>
      </c>
      <c r="D74" s="31"/>
      <c r="E74" s="43"/>
      <c r="F74" s="43"/>
      <c r="G74" s="46"/>
      <c r="H74" s="18">
        <v>9518.9599999999991</v>
      </c>
      <c r="I74" s="18"/>
      <c r="J74" s="30">
        <f t="shared" si="4"/>
        <v>9518.9599999999991</v>
      </c>
      <c r="K74" s="45"/>
      <c r="M74" s="42"/>
    </row>
    <row r="75" spans="1:13" s="40" customFormat="1" ht="15.75" x14ac:dyDescent="0.25">
      <c r="A75" s="31"/>
      <c r="B75" s="31"/>
      <c r="C75" s="43" t="s">
        <v>97</v>
      </c>
      <c r="D75" s="31"/>
      <c r="E75" s="43"/>
      <c r="F75" s="43"/>
      <c r="G75" s="46"/>
      <c r="H75" s="18">
        <f>750+7307.84</f>
        <v>8057.84</v>
      </c>
      <c r="I75" s="18"/>
      <c r="J75" s="30">
        <f t="shared" si="4"/>
        <v>8057.84</v>
      </c>
      <c r="K75" s="45"/>
      <c r="M75" s="42"/>
    </row>
    <row r="76" spans="1:13" s="40" customFormat="1" ht="15.75" x14ac:dyDescent="0.25">
      <c r="A76" s="31"/>
      <c r="B76" s="31"/>
      <c r="C76" s="43" t="s">
        <v>98</v>
      </c>
      <c r="D76" s="31"/>
      <c r="E76" s="43"/>
      <c r="F76" s="43"/>
      <c r="G76" s="46"/>
      <c r="H76" s="18">
        <v>6068.06</v>
      </c>
      <c r="I76" s="18"/>
      <c r="J76" s="30">
        <f t="shared" si="4"/>
        <v>6068.06</v>
      </c>
      <c r="K76" s="45"/>
      <c r="M76" s="42"/>
    </row>
    <row r="77" spans="1:13" s="40" customFormat="1" ht="15.75" x14ac:dyDescent="0.25">
      <c r="A77" s="31"/>
      <c r="B77" s="31"/>
      <c r="C77" s="43" t="s">
        <v>156</v>
      </c>
      <c r="D77" s="31"/>
      <c r="E77" s="43"/>
      <c r="F77" s="43"/>
      <c r="G77" s="46"/>
      <c r="H77" s="18">
        <v>50</v>
      </c>
      <c r="I77" s="18"/>
      <c r="J77" s="30">
        <f t="shared" ref="J77" si="8">SUM(G77:I77)</f>
        <v>50</v>
      </c>
      <c r="K77" s="45"/>
      <c r="M77" s="42"/>
    </row>
    <row r="78" spans="1:13" s="40" customFormat="1" ht="15.75" x14ac:dyDescent="0.25">
      <c r="A78" s="31"/>
      <c r="B78" s="31"/>
      <c r="C78" s="43" t="s">
        <v>99</v>
      </c>
      <c r="D78" s="31"/>
      <c r="E78" s="43"/>
      <c r="F78" s="43"/>
      <c r="G78" s="46"/>
      <c r="H78" s="18">
        <v>3844.48</v>
      </c>
      <c r="I78" s="18"/>
      <c r="J78" s="30">
        <f t="shared" si="4"/>
        <v>3844.48</v>
      </c>
      <c r="K78" s="45"/>
      <c r="M78" s="42"/>
    </row>
    <row r="79" spans="1:13" s="40" customFormat="1" ht="15.75" x14ac:dyDescent="0.25">
      <c r="A79" s="31"/>
      <c r="B79" s="31"/>
      <c r="C79" s="43" t="s">
        <v>100</v>
      </c>
      <c r="D79" s="31"/>
      <c r="E79" s="43"/>
      <c r="F79" s="43"/>
      <c r="G79" s="46"/>
      <c r="H79" s="18">
        <v>3615.87</v>
      </c>
      <c r="I79" s="18"/>
      <c r="J79" s="30">
        <f>SUM(G79:I79)</f>
        <v>3615.87</v>
      </c>
      <c r="K79" s="45"/>
      <c r="M79" s="42"/>
    </row>
    <row r="80" spans="1:13" s="40" customFormat="1" ht="15.75" x14ac:dyDescent="0.25">
      <c r="A80" s="31"/>
      <c r="B80" s="31"/>
      <c r="C80" s="43" t="s">
        <v>101</v>
      </c>
      <c r="D80" s="31"/>
      <c r="E80" s="43"/>
      <c r="F80" s="43"/>
      <c r="G80" s="46"/>
      <c r="H80" s="18">
        <v>3159.21</v>
      </c>
      <c r="I80" s="18"/>
      <c r="J80" s="30">
        <f t="shared" si="4"/>
        <v>3159.21</v>
      </c>
      <c r="K80" s="45"/>
      <c r="M80" s="42"/>
    </row>
    <row r="81" spans="1:13" s="40" customFormat="1" ht="15.75" x14ac:dyDescent="0.25">
      <c r="A81" s="31"/>
      <c r="B81" s="31"/>
      <c r="C81" s="43" t="s">
        <v>102</v>
      </c>
      <c r="D81" s="31"/>
      <c r="E81" s="43"/>
      <c r="F81" s="43"/>
      <c r="G81" s="46"/>
      <c r="H81" s="18">
        <f>683.83-75</f>
        <v>608.83000000000004</v>
      </c>
      <c r="I81" s="18"/>
      <c r="J81" s="30">
        <f t="shared" si="4"/>
        <v>608.83000000000004</v>
      </c>
      <c r="K81" s="45"/>
      <c r="M81" s="42"/>
    </row>
    <row r="82" spans="1:13" s="40" customFormat="1" ht="15.75" x14ac:dyDescent="0.25">
      <c r="A82" s="31"/>
      <c r="B82" s="31"/>
      <c r="C82" s="43" t="s">
        <v>103</v>
      </c>
      <c r="D82" s="31"/>
      <c r="E82" s="43"/>
      <c r="F82" s="43"/>
      <c r="G82" s="46"/>
      <c r="H82" s="18">
        <v>5916.67</v>
      </c>
      <c r="I82" s="18"/>
      <c r="J82" s="30">
        <f t="shared" si="4"/>
        <v>5916.67</v>
      </c>
      <c r="K82" s="45"/>
      <c r="M82" s="42"/>
    </row>
    <row r="83" spans="1:13" s="40" customFormat="1" ht="15.75" x14ac:dyDescent="0.25">
      <c r="A83" s="31"/>
      <c r="B83" s="31"/>
      <c r="C83" s="43" t="s">
        <v>104</v>
      </c>
      <c r="D83" s="31"/>
      <c r="E83" s="43"/>
      <c r="F83" s="43"/>
      <c r="G83" s="46"/>
      <c r="H83" s="18">
        <v>20539.75</v>
      </c>
      <c r="I83" s="18"/>
      <c r="J83" s="30">
        <f t="shared" si="4"/>
        <v>20539.75</v>
      </c>
      <c r="K83" s="45"/>
      <c r="M83" s="42"/>
    </row>
    <row r="84" spans="1:13" s="40" customFormat="1" ht="15.75" x14ac:dyDescent="0.25">
      <c r="A84" s="31"/>
      <c r="B84" s="31"/>
      <c r="C84" s="43" t="s">
        <v>105</v>
      </c>
      <c r="D84" s="31"/>
      <c r="E84" s="43"/>
      <c r="F84" s="43"/>
      <c r="G84" s="46"/>
      <c r="H84" s="18">
        <v>774.5</v>
      </c>
      <c r="I84" s="18"/>
      <c r="J84" s="30">
        <f t="shared" si="4"/>
        <v>774.5</v>
      </c>
      <c r="K84" s="45"/>
      <c r="M84" s="42"/>
    </row>
    <row r="85" spans="1:13" s="40" customFormat="1" ht="15.75" x14ac:dyDescent="0.25">
      <c r="A85" s="31"/>
      <c r="B85" s="31"/>
      <c r="C85" s="43" t="s">
        <v>106</v>
      </c>
      <c r="D85" s="31"/>
      <c r="E85" s="43"/>
      <c r="F85" s="43"/>
      <c r="G85" s="46"/>
      <c r="H85" s="18">
        <v>1885.36</v>
      </c>
      <c r="I85" s="18"/>
      <c r="J85" s="30">
        <f t="shared" si="4"/>
        <v>1885.36</v>
      </c>
      <c r="K85" s="45"/>
      <c r="M85" s="42"/>
    </row>
    <row r="86" spans="1:13" s="40" customFormat="1" ht="15.75" x14ac:dyDescent="0.25">
      <c r="A86" s="31"/>
      <c r="B86" s="31"/>
      <c r="C86" s="43" t="s">
        <v>120</v>
      </c>
      <c r="D86" s="31"/>
      <c r="E86" s="43"/>
      <c r="F86" s="43"/>
      <c r="G86" s="46"/>
      <c r="H86" s="18">
        <v>10000</v>
      </c>
      <c r="I86" s="18"/>
      <c r="J86" s="30">
        <f>SUM(G86:I86)</f>
        <v>10000</v>
      </c>
      <c r="K86" s="45"/>
      <c r="M86" s="42"/>
    </row>
    <row r="87" spans="1:13" s="40" customFormat="1" ht="15.75" x14ac:dyDescent="0.25">
      <c r="A87" s="31"/>
      <c r="B87" s="31"/>
      <c r="C87" s="43" t="s">
        <v>107</v>
      </c>
      <c r="D87" s="31"/>
      <c r="E87" s="43"/>
      <c r="F87" s="43"/>
      <c r="G87" s="46"/>
      <c r="H87" s="18">
        <v>1927.47</v>
      </c>
      <c r="I87" s="18"/>
      <c r="J87" s="30">
        <f>SUM(G87:I87)</f>
        <v>1927.47</v>
      </c>
      <c r="K87" s="45"/>
      <c r="M87" s="42"/>
    </row>
    <row r="88" spans="1:13" s="40" customFormat="1" ht="15.75" x14ac:dyDescent="0.25">
      <c r="A88" s="31"/>
      <c r="B88" s="31"/>
      <c r="C88" s="43" t="s">
        <v>108</v>
      </c>
      <c r="D88" s="31"/>
      <c r="E88" s="43"/>
      <c r="F88" s="43"/>
      <c r="G88" s="46"/>
      <c r="H88" s="18">
        <v>0</v>
      </c>
      <c r="I88" s="18"/>
      <c r="J88" s="30">
        <f t="shared" si="4"/>
        <v>0</v>
      </c>
      <c r="K88" s="45"/>
      <c r="M88" s="42"/>
    </row>
    <row r="89" spans="1:13" s="40" customFormat="1" ht="15.75" x14ac:dyDescent="0.25">
      <c r="A89" s="31"/>
      <c r="B89" s="31"/>
      <c r="C89" s="43" t="s">
        <v>133</v>
      </c>
      <c r="D89" s="31"/>
      <c r="E89" s="43"/>
      <c r="F89" s="43"/>
      <c r="G89" s="46"/>
      <c r="H89" s="18">
        <v>769.1</v>
      </c>
      <c r="I89" s="18"/>
      <c r="J89" s="30">
        <f t="shared" si="4"/>
        <v>769.1</v>
      </c>
      <c r="K89" s="45"/>
      <c r="M89" s="42"/>
    </row>
    <row r="90" spans="1:13" s="40" customFormat="1" ht="15.75" x14ac:dyDescent="0.25">
      <c r="A90" s="31"/>
      <c r="B90" s="31"/>
      <c r="C90" s="43" t="s">
        <v>134</v>
      </c>
      <c r="D90" s="31"/>
      <c r="E90" s="43"/>
      <c r="F90" s="43"/>
      <c r="G90" s="46"/>
      <c r="H90" s="18">
        <v>6925.75</v>
      </c>
      <c r="I90" s="18"/>
      <c r="J90" s="30">
        <f t="shared" si="4"/>
        <v>6925.75</v>
      </c>
      <c r="K90" s="45"/>
      <c r="M90" s="42"/>
    </row>
    <row r="91" spans="1:13" s="40" customFormat="1" ht="15.75" x14ac:dyDescent="0.25">
      <c r="A91" s="31"/>
      <c r="B91" s="31"/>
      <c r="C91" s="43" t="s">
        <v>137</v>
      </c>
      <c r="D91" s="31"/>
      <c r="E91" s="43"/>
      <c r="F91" s="43"/>
      <c r="G91" s="46"/>
      <c r="H91" s="18">
        <v>7471.27</v>
      </c>
      <c r="I91" s="18"/>
      <c r="J91" s="30">
        <f t="shared" si="4"/>
        <v>7471.27</v>
      </c>
      <c r="K91" s="45"/>
      <c r="M91" s="42"/>
    </row>
    <row r="92" spans="1:13" s="40" customFormat="1" ht="15.75" x14ac:dyDescent="0.25">
      <c r="A92" s="31"/>
      <c r="B92" s="31"/>
      <c r="C92" s="43" t="s">
        <v>161</v>
      </c>
      <c r="D92" s="31"/>
      <c r="E92" s="43"/>
      <c r="F92" s="43"/>
      <c r="G92" s="46"/>
      <c r="H92" s="18">
        <v>50</v>
      </c>
      <c r="I92" s="18"/>
      <c r="J92" s="30">
        <f t="shared" ref="J92" si="9">SUM(G92:I92)</f>
        <v>50</v>
      </c>
      <c r="K92" s="45"/>
      <c r="M92" s="42"/>
    </row>
    <row r="93" spans="1:13" s="40" customFormat="1" ht="15.75" x14ac:dyDescent="0.25">
      <c r="A93" s="31"/>
      <c r="B93" s="31"/>
      <c r="C93" s="43" t="s">
        <v>142</v>
      </c>
      <c r="D93" s="31"/>
      <c r="E93" s="43"/>
      <c r="F93" s="43"/>
      <c r="G93" s="46"/>
      <c r="H93" s="18">
        <v>1412.4</v>
      </c>
      <c r="I93" s="18"/>
      <c r="J93" s="30">
        <f t="shared" si="4"/>
        <v>1412.4</v>
      </c>
      <c r="K93" s="45"/>
      <c r="M93" s="42"/>
    </row>
    <row r="94" spans="1:13" s="40" customFormat="1" ht="15.75" x14ac:dyDescent="0.25">
      <c r="A94" s="31"/>
      <c r="B94" s="31"/>
      <c r="C94" s="43" t="s">
        <v>138</v>
      </c>
      <c r="D94" s="31"/>
      <c r="E94" s="43"/>
      <c r="F94" s="43"/>
      <c r="G94" s="46"/>
      <c r="H94" s="18">
        <v>0</v>
      </c>
      <c r="I94" s="18"/>
      <c r="J94" s="30">
        <f t="shared" si="4"/>
        <v>0</v>
      </c>
      <c r="K94" s="45"/>
      <c r="M94" s="42"/>
    </row>
    <row r="95" spans="1:13" s="40" customFormat="1" ht="15.75" x14ac:dyDescent="0.25">
      <c r="A95" s="31"/>
      <c r="B95" s="31"/>
      <c r="C95" s="22" t="s">
        <v>109</v>
      </c>
      <c r="D95" s="22"/>
      <c r="E95" s="22"/>
      <c r="F95" s="43"/>
      <c r="G95" s="46"/>
      <c r="H95" s="18"/>
      <c r="I95" s="30">
        <v>326938.57</v>
      </c>
      <c r="J95" s="30">
        <f t="shared" si="4"/>
        <v>326938.57</v>
      </c>
      <c r="K95" s="45"/>
      <c r="M95" s="42"/>
    </row>
    <row r="96" spans="1:13" s="40" customFormat="1" ht="15.75" x14ac:dyDescent="0.25">
      <c r="A96" s="31"/>
      <c r="B96" s="31"/>
      <c r="C96" s="22" t="s">
        <v>110</v>
      </c>
      <c r="D96" s="22"/>
      <c r="E96" s="22"/>
      <c r="F96" s="43"/>
      <c r="G96" s="46"/>
      <c r="H96" s="18"/>
      <c r="I96" s="30">
        <v>101715.76</v>
      </c>
      <c r="J96" s="30">
        <f t="shared" si="4"/>
        <v>101715.76</v>
      </c>
      <c r="K96" s="45"/>
      <c r="M96" s="42"/>
    </row>
    <row r="97" spans="1:13" s="40" customFormat="1" ht="15.75" x14ac:dyDescent="0.25">
      <c r="A97" s="31"/>
      <c r="B97" s="31"/>
      <c r="C97" s="22" t="s">
        <v>111</v>
      </c>
      <c r="D97" s="22"/>
      <c r="E97" s="22"/>
      <c r="F97" s="43"/>
      <c r="G97" s="46"/>
      <c r="H97" s="18"/>
      <c r="I97" s="30">
        <v>26.14</v>
      </c>
      <c r="J97" s="30">
        <f t="shared" si="4"/>
        <v>26.14</v>
      </c>
      <c r="K97" s="45"/>
      <c r="M97" s="42"/>
    </row>
    <row r="98" spans="1:13" s="40" customFormat="1" ht="15.75" x14ac:dyDescent="0.25">
      <c r="A98" s="31"/>
      <c r="B98" s="31"/>
      <c r="C98" s="22" t="s">
        <v>112</v>
      </c>
      <c r="D98" s="22"/>
      <c r="E98" s="22"/>
      <c r="F98" s="43"/>
      <c r="G98" s="46"/>
      <c r="H98" s="18"/>
      <c r="I98" s="30">
        <v>782611.89</v>
      </c>
      <c r="J98" s="30">
        <f>SUM(G98:I98)</f>
        <v>782611.89</v>
      </c>
      <c r="K98" s="45"/>
      <c r="M98" s="42"/>
    </row>
    <row r="99" spans="1:13" s="40" customFormat="1" ht="15.75" x14ac:dyDescent="0.25">
      <c r="A99" s="31"/>
      <c r="B99" s="31"/>
      <c r="C99" s="47" t="s">
        <v>113</v>
      </c>
      <c r="D99" s="47"/>
      <c r="E99" s="47"/>
      <c r="F99" s="48"/>
      <c r="G99" s="28"/>
      <c r="H99" s="48"/>
      <c r="I99" s="30">
        <v>4751.6000000000004</v>
      </c>
      <c r="J99" s="30">
        <f>SUM(G99:I99)</f>
        <v>4751.6000000000004</v>
      </c>
      <c r="K99" s="45"/>
      <c r="M99" s="42"/>
    </row>
    <row r="100" spans="1:13" s="40" customFormat="1" ht="16.5" thickBot="1" x14ac:dyDescent="0.3">
      <c r="A100" s="31"/>
      <c r="B100" s="31"/>
      <c r="C100" s="43" t="s">
        <v>35</v>
      </c>
      <c r="D100" s="31"/>
      <c r="E100" s="43"/>
      <c r="F100" s="43"/>
      <c r="G100" s="51">
        <f>+G28-G50</f>
        <v>40162.299999999988</v>
      </c>
      <c r="H100" s="37"/>
      <c r="I100" s="37"/>
      <c r="J100" s="37">
        <f>SUM(G100:I100)</f>
        <v>40162.299999999988</v>
      </c>
      <c r="K100" s="45"/>
      <c r="M100" s="42"/>
    </row>
    <row r="101" spans="1:13" ht="16.5" thickBot="1" x14ac:dyDescent="0.3">
      <c r="A101" s="22"/>
      <c r="B101" s="22" t="s">
        <v>114</v>
      </c>
      <c r="C101" s="22"/>
      <c r="D101" s="22"/>
      <c r="E101" s="22"/>
      <c r="F101" s="22"/>
      <c r="G101" s="18">
        <f>SUM(G61:G100)</f>
        <v>2606517.8499999996</v>
      </c>
      <c r="H101" s="18">
        <f>SUM(H60:H100)</f>
        <v>235599.50999999998</v>
      </c>
      <c r="I101" s="18">
        <f>SUM(I61:I100)</f>
        <v>1216043.9600000002</v>
      </c>
      <c r="J101" s="18">
        <f>SUM(J61:J100)</f>
        <v>4058161.32</v>
      </c>
    </row>
    <row r="102" spans="1:13" s="40" customFormat="1" ht="16.5" thickBot="1" x14ac:dyDescent="0.3">
      <c r="A102" s="31" t="s">
        <v>115</v>
      </c>
      <c r="B102" s="43"/>
      <c r="C102" s="31"/>
      <c r="D102" s="43"/>
      <c r="E102" s="43"/>
      <c r="F102" s="43"/>
      <c r="G102" s="49">
        <f>G57+G101</f>
        <v>3705881.13</v>
      </c>
      <c r="H102" s="49">
        <f>H57+H101</f>
        <v>235599.50999999998</v>
      </c>
      <c r="I102" s="49">
        <f>I57+I101</f>
        <v>1216043.9600000002</v>
      </c>
      <c r="J102" s="49">
        <f>J57+J101</f>
        <v>5157524.5999999996</v>
      </c>
      <c r="K102" s="45"/>
      <c r="M102" s="42"/>
    </row>
    <row r="103" spans="1:13" s="40" customFormat="1" ht="16.5" thickTop="1" x14ac:dyDescent="0.25">
      <c r="A103" s="25"/>
      <c r="B103" s="31"/>
      <c r="C103" s="22"/>
      <c r="D103" s="22"/>
      <c r="E103" s="22"/>
      <c r="F103" s="22"/>
      <c r="G103" s="18"/>
      <c r="H103" s="18"/>
      <c r="I103" s="18"/>
      <c r="J103" s="30"/>
      <c r="K103" s="45"/>
      <c r="M103" s="42"/>
    </row>
    <row r="104" spans="1:13" s="40" customFormat="1" ht="15.75" x14ac:dyDescent="0.25">
      <c r="A104" s="25"/>
      <c r="B104" s="31"/>
      <c r="C104" s="22"/>
      <c r="D104" s="22"/>
      <c r="E104" s="22"/>
      <c r="F104" s="22"/>
      <c r="G104" s="18"/>
      <c r="H104" s="18"/>
      <c r="I104" s="18"/>
      <c r="J104" s="30"/>
      <c r="K104" s="45"/>
      <c r="M104" s="42"/>
    </row>
    <row r="105" spans="1:13" s="40" customFormat="1" ht="15.75" x14ac:dyDescent="0.25">
      <c r="A105" s="25"/>
      <c r="B105" s="31"/>
      <c r="C105" s="22"/>
      <c r="D105" s="22"/>
      <c r="E105" s="22"/>
      <c r="F105" s="22"/>
      <c r="G105" s="18"/>
      <c r="H105" s="18"/>
      <c r="I105" s="18"/>
      <c r="J105" s="30"/>
      <c r="K105" s="45"/>
      <c r="M105" s="42"/>
    </row>
    <row r="106" spans="1:13" s="40" customFormat="1" ht="15.75" x14ac:dyDescent="0.25">
      <c r="A106" s="25"/>
      <c r="B106" s="31"/>
      <c r="C106" s="22"/>
      <c r="D106" s="22"/>
      <c r="E106" s="22"/>
      <c r="F106" s="22"/>
      <c r="G106" s="18"/>
      <c r="H106" s="18"/>
      <c r="I106" s="18"/>
      <c r="J106" s="30"/>
      <c r="K106" s="45"/>
      <c r="M106" s="42"/>
    </row>
    <row r="107" spans="1:13" s="40" customFormat="1" ht="15.75" x14ac:dyDescent="0.25">
      <c r="A107" s="25"/>
      <c r="B107" s="31"/>
      <c r="C107" s="22"/>
      <c r="D107" s="22"/>
      <c r="E107" s="22"/>
      <c r="F107" s="22"/>
      <c r="G107" s="18"/>
      <c r="H107" s="18"/>
      <c r="I107" s="18"/>
      <c r="J107" s="30"/>
      <c r="K107" s="45"/>
      <c r="M107" s="42"/>
    </row>
    <row r="108" spans="1:13" s="40" customFormat="1" ht="15.75" x14ac:dyDescent="0.25">
      <c r="A108" s="25"/>
      <c r="B108" s="31"/>
      <c r="C108" s="22"/>
      <c r="D108" s="22"/>
      <c r="E108" s="22"/>
      <c r="F108" s="22"/>
      <c r="G108" s="18"/>
      <c r="H108" s="18"/>
      <c r="I108" s="18"/>
      <c r="J108" s="30"/>
      <c r="K108" s="45"/>
      <c r="M108" s="42"/>
    </row>
    <row r="109" spans="1:13" s="40" customFormat="1" ht="15.75" x14ac:dyDescent="0.25">
      <c r="A109" s="25"/>
      <c r="B109" s="31"/>
      <c r="C109" s="22"/>
      <c r="D109" s="22"/>
      <c r="E109" s="22"/>
      <c r="F109" s="22"/>
      <c r="G109" s="18"/>
      <c r="H109" s="18"/>
      <c r="I109" s="18"/>
      <c r="J109" s="30"/>
      <c r="K109" s="45"/>
      <c r="M109" s="42"/>
    </row>
    <row r="110" spans="1:13" s="40" customFormat="1" ht="15.75" x14ac:dyDescent="0.25">
      <c r="A110" s="25"/>
      <c r="B110" s="31"/>
      <c r="C110" s="22"/>
      <c r="D110" s="22"/>
      <c r="E110" s="22"/>
      <c r="F110" s="22"/>
      <c r="G110" s="18"/>
      <c r="H110" s="18"/>
      <c r="I110" s="18"/>
      <c r="J110" s="30"/>
      <c r="K110" s="45"/>
      <c r="M110" s="42"/>
    </row>
    <row r="111" spans="1:13" s="40" customFormat="1" ht="15.75" x14ac:dyDescent="0.25">
      <c r="A111" s="25"/>
      <c r="B111" s="31"/>
      <c r="C111" s="22"/>
      <c r="D111" s="22"/>
      <c r="E111" s="22"/>
      <c r="F111" s="22"/>
      <c r="G111" s="18"/>
      <c r="H111" s="18"/>
      <c r="I111" s="18"/>
      <c r="J111" s="30"/>
      <c r="K111" s="45"/>
      <c r="M111" s="42"/>
    </row>
    <row r="112" spans="1:13" s="40" customFormat="1" ht="15.75" x14ac:dyDescent="0.25">
      <c r="A112" s="25"/>
      <c r="B112" s="31"/>
      <c r="C112" s="22"/>
      <c r="D112" s="22"/>
      <c r="E112" s="22"/>
      <c r="F112" s="22"/>
      <c r="G112" s="18"/>
      <c r="H112" s="18"/>
      <c r="I112" s="18"/>
      <c r="J112" s="30"/>
      <c r="K112" s="45"/>
      <c r="M112" s="42"/>
    </row>
    <row r="113" spans="1:13" s="40" customFormat="1" ht="15.75" x14ac:dyDescent="0.25">
      <c r="A113" s="25"/>
      <c r="B113" s="31"/>
      <c r="C113" s="22"/>
      <c r="D113" s="22"/>
      <c r="E113" s="22"/>
      <c r="F113" s="22"/>
      <c r="G113" s="18"/>
      <c r="H113" s="18"/>
      <c r="I113" s="18"/>
      <c r="J113" s="30"/>
      <c r="K113" s="45"/>
      <c r="M113" s="42"/>
    </row>
    <row r="114" spans="1:13" s="40" customFormat="1" ht="15.75" x14ac:dyDescent="0.25">
      <c r="A114" s="25"/>
      <c r="B114" s="31"/>
      <c r="C114" s="22"/>
      <c r="D114" s="22"/>
      <c r="E114" s="22"/>
      <c r="F114" s="22"/>
      <c r="G114" s="18"/>
      <c r="H114" s="18"/>
      <c r="I114" s="18"/>
      <c r="J114" s="30"/>
      <c r="K114" s="45"/>
      <c r="M114" s="42"/>
    </row>
    <row r="115" spans="1:13" s="40" customFormat="1" ht="15.75" x14ac:dyDescent="0.25">
      <c r="A115" s="25"/>
      <c r="B115" s="31"/>
      <c r="C115" s="22"/>
      <c r="D115" s="22"/>
      <c r="E115" s="22"/>
      <c r="F115" s="22"/>
      <c r="G115" s="18"/>
      <c r="H115" s="18"/>
      <c r="I115" s="18"/>
      <c r="J115" s="30"/>
      <c r="K115" s="45"/>
      <c r="M115" s="42"/>
    </row>
    <row r="116" spans="1:13" s="40" customFormat="1" ht="15.75" x14ac:dyDescent="0.25">
      <c r="A116" s="25"/>
      <c r="B116" s="31"/>
      <c r="C116" s="22"/>
      <c r="D116" s="22"/>
      <c r="E116" s="22"/>
      <c r="F116" s="22"/>
      <c r="G116" s="18"/>
      <c r="H116" s="18"/>
      <c r="I116" s="18"/>
      <c r="J116" s="30"/>
      <c r="K116" s="45"/>
      <c r="M116" s="42"/>
    </row>
    <row r="117" spans="1:13" s="40" customFormat="1" ht="15.75" x14ac:dyDescent="0.25">
      <c r="A117" s="25"/>
      <c r="B117" s="31"/>
      <c r="C117" s="22"/>
      <c r="D117" s="22"/>
      <c r="E117" s="22"/>
      <c r="F117" s="22"/>
      <c r="G117" s="18"/>
      <c r="H117" s="18"/>
      <c r="I117" s="18"/>
      <c r="J117" s="30"/>
      <c r="K117" s="45"/>
      <c r="M117" s="42"/>
    </row>
    <row r="118" spans="1:13" s="40" customFormat="1" ht="15.75" x14ac:dyDescent="0.25">
      <c r="A118" s="25"/>
      <c r="B118" s="31"/>
      <c r="C118" s="22"/>
      <c r="D118" s="22"/>
      <c r="E118" s="22"/>
      <c r="F118" s="22"/>
      <c r="G118" s="18"/>
      <c r="H118" s="18"/>
      <c r="I118" s="18"/>
      <c r="J118" s="30"/>
      <c r="K118" s="45"/>
      <c r="M118" s="42"/>
    </row>
    <row r="119" spans="1:13" s="40" customFormat="1" ht="15.75" x14ac:dyDescent="0.25">
      <c r="A119" s="25"/>
      <c r="B119" s="31"/>
      <c r="C119" s="22"/>
      <c r="D119" s="22"/>
      <c r="E119" s="22"/>
      <c r="F119" s="22"/>
      <c r="G119" s="18"/>
      <c r="H119" s="18"/>
      <c r="I119" s="18"/>
      <c r="J119" s="30"/>
      <c r="K119" s="45"/>
      <c r="M119" s="42"/>
    </row>
    <row r="120" spans="1:13" s="40" customFormat="1" ht="15.75" x14ac:dyDescent="0.25">
      <c r="A120" s="25"/>
      <c r="B120" s="31"/>
      <c r="C120" s="22"/>
      <c r="D120" s="22"/>
      <c r="E120" s="22"/>
      <c r="F120" s="22"/>
      <c r="G120" s="18"/>
      <c r="H120" s="18"/>
      <c r="I120" s="18"/>
      <c r="J120" s="30"/>
      <c r="K120" s="45"/>
      <c r="M120" s="42"/>
    </row>
    <row r="121" spans="1:13" s="40" customFormat="1" ht="15.75" x14ac:dyDescent="0.25">
      <c r="A121" s="25"/>
      <c r="B121" s="31"/>
      <c r="C121" s="22"/>
      <c r="D121" s="22"/>
      <c r="E121" s="22"/>
      <c r="F121" s="22"/>
      <c r="G121" s="18"/>
      <c r="H121" s="18"/>
      <c r="I121" s="18"/>
      <c r="J121" s="30"/>
      <c r="K121" s="45"/>
      <c r="M121" s="42"/>
    </row>
    <row r="122" spans="1:13" s="40" customFormat="1" ht="15.75" x14ac:dyDescent="0.25">
      <c r="A122" s="25"/>
      <c r="B122" s="31"/>
      <c r="C122" s="22"/>
      <c r="D122" s="22"/>
      <c r="E122" s="22"/>
      <c r="F122" s="22"/>
      <c r="G122" s="18"/>
      <c r="H122" s="18"/>
      <c r="I122" s="18"/>
      <c r="J122" s="30"/>
      <c r="K122" s="45"/>
      <c r="M122" s="42"/>
    </row>
    <row r="123" spans="1:13" s="40" customFormat="1" ht="15.75" x14ac:dyDescent="0.25">
      <c r="A123" s="25"/>
      <c r="B123" s="31"/>
      <c r="C123" s="22"/>
      <c r="D123" s="22"/>
      <c r="E123" s="22"/>
      <c r="F123" s="22"/>
      <c r="G123" s="18"/>
      <c r="H123" s="18"/>
      <c r="I123" s="18"/>
      <c r="J123" s="30"/>
      <c r="K123" s="45"/>
      <c r="M123" s="42"/>
    </row>
    <row r="124" spans="1:13" s="40" customFormat="1" ht="15.75" x14ac:dyDescent="0.25">
      <c r="A124" s="25"/>
      <c r="B124" s="31"/>
      <c r="C124" s="22"/>
      <c r="D124" s="22"/>
      <c r="E124" s="22"/>
      <c r="F124" s="22"/>
      <c r="G124" s="18"/>
      <c r="H124" s="18"/>
      <c r="I124" s="18"/>
      <c r="J124" s="30"/>
      <c r="K124" s="45"/>
      <c r="M124" s="42"/>
    </row>
    <row r="125" spans="1:13" s="40" customFormat="1" ht="15.75" x14ac:dyDescent="0.25">
      <c r="A125" s="25"/>
      <c r="B125" s="31"/>
      <c r="C125" s="22"/>
      <c r="D125" s="22"/>
      <c r="E125" s="22"/>
      <c r="F125" s="22"/>
      <c r="G125" s="18"/>
      <c r="H125" s="18"/>
      <c r="I125" s="18"/>
      <c r="J125" s="30"/>
      <c r="K125" s="45"/>
      <c r="M125" s="42"/>
    </row>
    <row r="126" spans="1:13" s="40" customFormat="1" ht="15.75" x14ac:dyDescent="0.25">
      <c r="A126" s="25"/>
      <c r="B126" s="31"/>
      <c r="C126" s="22"/>
      <c r="D126" s="22"/>
      <c r="E126" s="22"/>
      <c r="F126" s="22"/>
      <c r="G126" s="18"/>
      <c r="H126" s="18"/>
      <c r="I126" s="18"/>
      <c r="J126" s="30"/>
      <c r="K126" s="45"/>
      <c r="M126" s="42"/>
    </row>
    <row r="127" spans="1:13" s="40" customFormat="1" ht="15.75" x14ac:dyDescent="0.25">
      <c r="A127" s="25"/>
      <c r="B127" s="31"/>
      <c r="C127" s="22"/>
      <c r="D127" s="22"/>
      <c r="E127" s="22"/>
      <c r="F127" s="22"/>
      <c r="G127" s="18"/>
      <c r="H127" s="18"/>
      <c r="I127" s="18"/>
      <c r="J127" s="30"/>
      <c r="K127" s="45"/>
      <c r="M127" s="42"/>
    </row>
    <row r="128" spans="1:13" s="40" customFormat="1" ht="15.75" x14ac:dyDescent="0.25">
      <c r="A128" s="25"/>
      <c r="B128" s="31"/>
      <c r="C128" s="22"/>
      <c r="D128" s="22"/>
      <c r="E128" s="22"/>
      <c r="F128" s="22"/>
      <c r="G128" s="18"/>
      <c r="H128" s="18"/>
      <c r="I128" s="18"/>
      <c r="J128" s="30"/>
      <c r="K128" s="45"/>
      <c r="M128" s="42"/>
    </row>
    <row r="129" spans="1:13" s="40" customFormat="1" ht="15.75" x14ac:dyDescent="0.25">
      <c r="A129" s="25"/>
      <c r="B129" s="31"/>
      <c r="C129" s="22"/>
      <c r="D129" s="22"/>
      <c r="E129" s="22"/>
      <c r="F129" s="22"/>
      <c r="G129" s="18"/>
      <c r="H129" s="18"/>
      <c r="I129" s="18"/>
      <c r="J129" s="30"/>
      <c r="K129" s="45"/>
      <c r="M129" s="42"/>
    </row>
    <row r="130" spans="1:13" s="40" customFormat="1" ht="15.75" x14ac:dyDescent="0.25">
      <c r="A130" s="25"/>
      <c r="B130" s="31"/>
      <c r="C130" s="22"/>
      <c r="D130" s="22"/>
      <c r="E130" s="22"/>
      <c r="F130" s="22"/>
      <c r="G130" s="18"/>
      <c r="H130" s="18"/>
      <c r="I130" s="18"/>
      <c r="J130" s="30"/>
      <c r="K130" s="45"/>
      <c r="M130" s="42"/>
    </row>
    <row r="131" spans="1:13" s="40" customFormat="1" ht="15.75" x14ac:dyDescent="0.25">
      <c r="A131" s="25"/>
      <c r="B131" s="31"/>
      <c r="C131" s="22"/>
      <c r="D131" s="22"/>
      <c r="E131" s="22"/>
      <c r="F131" s="22"/>
      <c r="G131" s="18"/>
      <c r="H131" s="18"/>
      <c r="I131" s="18"/>
      <c r="J131" s="30"/>
      <c r="K131" s="45"/>
      <c r="M131" s="42"/>
    </row>
    <row r="132" spans="1:13" s="40" customFormat="1" ht="15.75" x14ac:dyDescent="0.25">
      <c r="A132" s="25"/>
      <c r="B132" s="31"/>
      <c r="C132" s="22"/>
      <c r="D132" s="22"/>
      <c r="E132" s="22"/>
      <c r="F132" s="22"/>
      <c r="G132" s="18"/>
      <c r="H132" s="18"/>
      <c r="I132" s="18"/>
      <c r="J132" s="30"/>
      <c r="K132" s="45"/>
      <c r="M132" s="42"/>
    </row>
    <row r="133" spans="1:13" ht="15.75" x14ac:dyDescent="0.25">
      <c r="I133" s="53"/>
      <c r="J133" s="53"/>
    </row>
  </sheetData>
  <pageMargins left="0.7" right="0.7" top="0.75" bottom="0.75" header="0.3" footer="0.3"/>
  <pageSetup scale="52" orientation="portrait" r:id="rId1"/>
  <headerFooter>
    <oddHeader>&amp;CFirst Unitarian Universalist Congregation of Ann Arbor
Balance Sheet
As of December 31,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3"/>
  <sheetViews>
    <sheetView showRowColHeaders="0" topLeftCell="A10" workbookViewId="0">
      <selection activeCell="B12" sqref="B12"/>
    </sheetView>
  </sheetViews>
  <sheetFormatPr defaultRowHeight="15" x14ac:dyDescent="0.25"/>
  <cols>
    <col min="1" max="1" width="60.140625" customWidth="1"/>
    <col min="2" max="2" width="18.140625" style="9" customWidth="1"/>
    <col min="3" max="3" width="14.42578125" style="9" bestFit="1" customWidth="1"/>
    <col min="4" max="4" width="15.42578125" style="9" bestFit="1" customWidth="1"/>
    <col min="5" max="5" width="22.42578125" style="9" customWidth="1"/>
    <col min="6" max="13" width="0" hidden="1" customWidth="1"/>
  </cols>
  <sheetData>
    <row r="1" spans="1:38" ht="15.75" x14ac:dyDescent="0.25">
      <c r="A1" s="54"/>
      <c r="B1" s="55"/>
      <c r="C1" s="20" t="s">
        <v>33</v>
      </c>
      <c r="D1" s="20" t="s">
        <v>34</v>
      </c>
      <c r="E1" s="2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16.5" thickBot="1" x14ac:dyDescent="0.3">
      <c r="A2" s="14"/>
      <c r="B2" s="51" t="s">
        <v>35</v>
      </c>
      <c r="C2" s="24" t="s">
        <v>36</v>
      </c>
      <c r="D2" s="24" t="s">
        <v>36</v>
      </c>
      <c r="E2" s="70" t="s">
        <v>164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x14ac:dyDescent="0.25">
      <c r="A3" s="56" t="s">
        <v>0</v>
      </c>
      <c r="B3" s="50"/>
      <c r="C3" s="19"/>
      <c r="D3" s="19"/>
      <c r="E3" s="5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x14ac:dyDescent="0.25">
      <c r="A4" s="14" t="s">
        <v>37</v>
      </c>
      <c r="B4" s="66">
        <v>1083438.49</v>
      </c>
      <c r="C4" s="50"/>
      <c r="D4" s="50"/>
      <c r="E4" s="50">
        <f>SUM(B4:D4)</f>
        <v>1083438.49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x14ac:dyDescent="0.25">
      <c r="A5" s="14" t="s">
        <v>38</v>
      </c>
      <c r="B5" s="66">
        <v>40930.269999999997</v>
      </c>
      <c r="C5" s="50"/>
      <c r="D5" s="50"/>
      <c r="E5" s="50">
        <f t="shared" ref="E5:E33" si="0">SUM(B5:D5)</f>
        <v>40930.269999999997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</row>
    <row r="6" spans="1:38" x14ac:dyDescent="0.25">
      <c r="A6" s="14" t="s">
        <v>39</v>
      </c>
      <c r="B6" s="78">
        <v>15702.5</v>
      </c>
      <c r="C6" s="50"/>
      <c r="D6" s="50"/>
      <c r="E6" s="50">
        <f t="shared" si="0"/>
        <v>15702.5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x14ac:dyDescent="0.25">
      <c r="A7" s="14" t="s">
        <v>40</v>
      </c>
      <c r="B7" s="50">
        <v>6813.95</v>
      </c>
      <c r="C7" s="50">
        <f>225873.1+75+2577.44+10138.98-69179.22</f>
        <v>169485.30000000002</v>
      </c>
      <c r="D7" s="50"/>
      <c r="E7" s="50">
        <f t="shared" si="0"/>
        <v>176299.25000000003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ht="15.75" thickBot="1" x14ac:dyDescent="0.3">
      <c r="A8" s="14" t="s">
        <v>41</v>
      </c>
      <c r="B8" s="58">
        <f>17440.71+59.1+32300</f>
        <v>49799.81</v>
      </c>
      <c r="C8" s="58">
        <f>10810.32+62181.36+8324+6253.39+87279.44+2794.85</f>
        <v>177643.36000000002</v>
      </c>
      <c r="D8" s="58">
        <f>-80+35028.42-15509.7+83882.15+4722.87+30556.8</f>
        <v>138600.53999999998</v>
      </c>
      <c r="E8" s="58">
        <f t="shared" si="0"/>
        <v>366043.70999999996</v>
      </c>
      <c r="F8" s="14"/>
      <c r="G8" s="14">
        <v>150</v>
      </c>
      <c r="H8" s="14">
        <v>112361.29</v>
      </c>
      <c r="I8" s="14"/>
      <c r="J8" s="14"/>
      <c r="K8" s="14"/>
      <c r="L8" s="14"/>
      <c r="M8" s="14"/>
      <c r="N8" s="14"/>
      <c r="O8" s="104"/>
      <c r="P8" s="104"/>
      <c r="Q8" s="104"/>
      <c r="R8" s="104"/>
      <c r="S8" s="104"/>
      <c r="T8" s="10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x14ac:dyDescent="0.25">
      <c r="A9" s="59" t="s">
        <v>42</v>
      </c>
      <c r="B9" s="50">
        <f>SUM(B4:B8)</f>
        <v>1196685.02</v>
      </c>
      <c r="C9" s="50">
        <f>SUM(C4:C8)</f>
        <v>347128.66000000003</v>
      </c>
      <c r="D9" s="50">
        <f>SUM(D4:D8)</f>
        <v>138600.53999999998</v>
      </c>
      <c r="E9" s="50">
        <f t="shared" si="0"/>
        <v>1682414.2200000002</v>
      </c>
      <c r="F9" s="14"/>
      <c r="G9" s="14">
        <v>346</v>
      </c>
      <c r="H9" s="14">
        <v>38513.599999999999</v>
      </c>
      <c r="I9" s="14"/>
      <c r="J9" s="14"/>
      <c r="K9" s="14"/>
      <c r="L9" s="14"/>
      <c r="M9" s="14"/>
      <c r="N9" s="14"/>
      <c r="O9" s="105"/>
      <c r="P9" s="105"/>
      <c r="Q9" s="105"/>
      <c r="R9" s="105"/>
      <c r="S9" s="105"/>
      <c r="T9" s="105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x14ac:dyDescent="0.25">
      <c r="A10" s="56" t="s">
        <v>147</v>
      </c>
      <c r="B10" s="50"/>
      <c r="C10" s="50"/>
      <c r="D10" s="50"/>
      <c r="E10" s="50"/>
      <c r="F10" s="14"/>
      <c r="G10" s="14">
        <v>836</v>
      </c>
      <c r="H10" s="14">
        <v>3819.3</v>
      </c>
      <c r="I10" s="14"/>
      <c r="J10" s="14"/>
      <c r="K10" s="14"/>
      <c r="L10" s="14"/>
      <c r="M10" s="14"/>
      <c r="N10" s="14"/>
      <c r="O10" s="105"/>
      <c r="P10" s="105"/>
      <c r="Q10" s="105"/>
      <c r="R10" s="105"/>
      <c r="S10" s="105"/>
      <c r="T10" s="105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8" x14ac:dyDescent="0.25">
      <c r="A11" s="14" t="s">
        <v>43</v>
      </c>
      <c r="B11" s="57">
        <v>17009.55</v>
      </c>
      <c r="C11" s="57">
        <f>833.47-157</f>
        <v>676.47</v>
      </c>
      <c r="D11" s="50"/>
      <c r="E11" s="50">
        <f t="shared" si="0"/>
        <v>17686.02</v>
      </c>
      <c r="F11" s="14"/>
      <c r="G11" s="14">
        <v>1571</v>
      </c>
      <c r="H11" s="14">
        <v>7953</v>
      </c>
      <c r="I11" s="14"/>
      <c r="J11" s="14"/>
      <c r="K11" s="14"/>
      <c r="L11" s="14"/>
      <c r="M11" s="14"/>
      <c r="N11" s="14"/>
      <c r="O11" s="105"/>
      <c r="P11" s="105"/>
      <c r="Q11" s="105"/>
      <c r="R11" s="105"/>
      <c r="S11" s="105"/>
      <c r="T11" s="10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x14ac:dyDescent="0.25">
      <c r="A12" s="14" t="s">
        <v>44</v>
      </c>
      <c r="B12" s="57">
        <f>2536.59-6.67</f>
        <v>2529.92</v>
      </c>
      <c r="C12" s="57">
        <f>1142.36+2321.52+2110.23+370+420.96+153.09</f>
        <v>6518.1600000000008</v>
      </c>
      <c r="D12" s="50"/>
      <c r="E12" s="50">
        <f t="shared" si="0"/>
        <v>9048.0800000000017</v>
      </c>
      <c r="F12" s="14"/>
      <c r="G12" s="14">
        <v>175</v>
      </c>
      <c r="H12" s="14">
        <f>SUM(H8:H11)</f>
        <v>162647.18999999997</v>
      </c>
      <c r="I12" s="14">
        <f>+H12+G20</f>
        <v>173433.40999999997</v>
      </c>
      <c r="J12" s="14"/>
      <c r="K12" s="14"/>
      <c r="L12" s="14"/>
      <c r="M12" s="14"/>
      <c r="N12" s="14"/>
      <c r="O12" s="105"/>
      <c r="P12" s="105"/>
      <c r="Q12" s="105"/>
      <c r="R12" s="105"/>
      <c r="S12" s="105"/>
      <c r="T12" s="10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25">
      <c r="A13" s="14" t="s">
        <v>45</v>
      </c>
      <c r="B13" s="57">
        <v>4585.9799999999996</v>
      </c>
      <c r="C13" s="57">
        <f>7365.01+3688.56+14849.67+6578.84+2313.99+2083+125+5655.93-125+4309.42+8124.36+4742.5+755</f>
        <v>60466.28</v>
      </c>
      <c r="D13" s="50">
        <v>30500</v>
      </c>
      <c r="E13" s="50">
        <f t="shared" si="0"/>
        <v>95552.26</v>
      </c>
      <c r="F13" s="14"/>
      <c r="G13" s="14">
        <v>235</v>
      </c>
      <c r="H13" s="14"/>
      <c r="I13" s="14"/>
      <c r="J13" s="14"/>
      <c r="K13" s="14"/>
      <c r="L13" s="14"/>
      <c r="M13" s="14"/>
      <c r="N13" s="14"/>
      <c r="O13" s="105"/>
      <c r="P13" s="105"/>
      <c r="Q13" s="105"/>
      <c r="R13" s="105"/>
      <c r="S13" s="105"/>
      <c r="T13" s="105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x14ac:dyDescent="0.25">
      <c r="A14" s="14" t="s">
        <v>46</v>
      </c>
      <c r="B14" s="57">
        <f>2794.85+3520.14</f>
        <v>6314.99</v>
      </c>
      <c r="C14" s="57">
        <f>5085.91+1922.58+661.45+1192.73+1829.9+1064.44+1974.48+750.03+3161.05+1592.59+883.57</f>
        <v>20118.73</v>
      </c>
      <c r="D14" s="50"/>
      <c r="E14" s="50">
        <f t="shared" si="0"/>
        <v>26433.72</v>
      </c>
      <c r="F14" s="14"/>
      <c r="G14" s="14">
        <v>352</v>
      </c>
      <c r="H14" s="14"/>
      <c r="I14" s="14"/>
      <c r="J14" s="14"/>
      <c r="K14" s="14"/>
      <c r="L14" s="14"/>
      <c r="M14" s="14"/>
      <c r="N14" s="14"/>
      <c r="O14" s="105"/>
      <c r="P14" s="105"/>
      <c r="Q14" s="105"/>
      <c r="R14" s="105"/>
      <c r="S14" s="105"/>
      <c r="T14" s="105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x14ac:dyDescent="0.25">
      <c r="A15" s="14" t="s">
        <v>47</v>
      </c>
      <c r="B15" s="57">
        <v>15700</v>
      </c>
      <c r="C15" s="57">
        <f>1080+362.1+11040+10955+210.7+246.6</f>
        <v>23894.399999999998</v>
      </c>
      <c r="D15" s="50"/>
      <c r="E15" s="16">
        <f t="shared" si="0"/>
        <v>39594.399999999994</v>
      </c>
      <c r="F15" s="14"/>
      <c r="G15" s="14">
        <v>817</v>
      </c>
      <c r="H15" s="14"/>
      <c r="I15" s="14"/>
      <c r="J15" s="14"/>
      <c r="K15" s="14"/>
      <c r="L15" s="14"/>
      <c r="M15" s="14"/>
      <c r="N15" s="14"/>
      <c r="O15" s="105"/>
      <c r="P15" s="105"/>
      <c r="Q15" s="105"/>
      <c r="R15" s="105"/>
      <c r="S15" s="105"/>
      <c r="T15" s="10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x14ac:dyDescent="0.25">
      <c r="A16" s="59" t="s">
        <v>152</v>
      </c>
      <c r="B16" s="60">
        <f>SUM(B11:B15)</f>
        <v>46140.44</v>
      </c>
      <c r="C16" s="60">
        <f>SUM(C11:C15)</f>
        <v>111674.04</v>
      </c>
      <c r="D16" s="60">
        <f>SUM(D11:D15)</f>
        <v>30500</v>
      </c>
      <c r="E16" s="50">
        <f t="shared" si="0"/>
        <v>188314.47999999998</v>
      </c>
      <c r="F16" s="14"/>
      <c r="G16" s="14">
        <v>1889.22</v>
      </c>
      <c r="H16" s="14"/>
      <c r="I16" s="14"/>
      <c r="J16" s="14"/>
      <c r="K16" s="14"/>
      <c r="L16" s="14"/>
      <c r="M16" s="14"/>
      <c r="N16" s="14"/>
      <c r="O16" s="105"/>
      <c r="P16" s="105"/>
      <c r="Q16" s="105"/>
      <c r="R16" s="105"/>
      <c r="S16" s="105"/>
      <c r="T16" s="10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x14ac:dyDescent="0.25">
      <c r="A17" s="56" t="s">
        <v>148</v>
      </c>
      <c r="B17" s="50"/>
      <c r="C17" s="50"/>
      <c r="D17" s="50"/>
      <c r="E17" s="50"/>
      <c r="F17" s="14"/>
      <c r="G17" s="14">
        <v>50</v>
      </c>
      <c r="H17" s="14"/>
      <c r="I17" s="14"/>
      <c r="J17" s="14"/>
      <c r="K17" s="14"/>
      <c r="L17" s="14"/>
      <c r="M17" s="14"/>
      <c r="N17" s="14"/>
      <c r="O17" s="105"/>
      <c r="P17" s="105"/>
      <c r="Q17" s="105"/>
      <c r="R17" s="105"/>
      <c r="S17" s="105"/>
      <c r="T17" s="105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x14ac:dyDescent="0.25">
      <c r="A18" s="14" t="s">
        <v>48</v>
      </c>
      <c r="B18" s="57">
        <f>69671.08+9545.25</f>
        <v>79216.33</v>
      </c>
      <c r="C18" s="50">
        <v>6904</v>
      </c>
      <c r="D18" s="50"/>
      <c r="E18" s="50">
        <f t="shared" si="0"/>
        <v>86120.33</v>
      </c>
      <c r="F18" s="14"/>
      <c r="G18" s="14">
        <v>800</v>
      </c>
      <c r="H18" s="14"/>
      <c r="I18" s="14"/>
      <c r="J18" s="14"/>
      <c r="K18" s="14"/>
      <c r="L18" s="14"/>
      <c r="M18" s="14"/>
      <c r="N18" s="14"/>
      <c r="O18" s="105"/>
      <c r="P18" s="105"/>
      <c r="Q18" s="105"/>
      <c r="R18" s="105"/>
      <c r="S18" s="105"/>
      <c r="T18" s="105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x14ac:dyDescent="0.25">
      <c r="A19" s="14" t="s">
        <v>49</v>
      </c>
      <c r="B19" s="57">
        <v>24584.76</v>
      </c>
      <c r="C19" s="50"/>
      <c r="D19" s="50"/>
      <c r="E19" s="50">
        <f t="shared" si="0"/>
        <v>24584.76</v>
      </c>
      <c r="F19" s="14"/>
      <c r="G19" s="14">
        <v>3565</v>
      </c>
      <c r="H19" s="14"/>
      <c r="I19" s="14"/>
      <c r="J19" s="14"/>
      <c r="K19" s="14"/>
      <c r="L19" s="14"/>
      <c r="M19" s="14"/>
      <c r="N19" s="14"/>
      <c r="O19" s="105"/>
      <c r="P19" s="105"/>
      <c r="Q19" s="105"/>
      <c r="R19" s="105"/>
      <c r="S19" s="105"/>
      <c r="T19" s="105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x14ac:dyDescent="0.25">
      <c r="A20" s="14" t="s">
        <v>50</v>
      </c>
      <c r="B20" s="57">
        <v>55125.02</v>
      </c>
      <c r="C20" s="50"/>
      <c r="D20" s="50"/>
      <c r="E20" s="50">
        <f t="shared" si="0"/>
        <v>55125.02</v>
      </c>
      <c r="F20" s="14"/>
      <c r="G20" s="14">
        <f>SUM(G8:G19)</f>
        <v>10786.220000000001</v>
      </c>
      <c r="H20" s="14"/>
      <c r="I20" s="14"/>
      <c r="J20" s="14"/>
      <c r="K20" s="14"/>
      <c r="L20" s="14"/>
      <c r="M20" s="14"/>
      <c r="N20" s="14"/>
      <c r="O20" s="105"/>
      <c r="P20" s="105"/>
      <c r="Q20" s="105"/>
      <c r="R20" s="105"/>
      <c r="S20" s="105"/>
      <c r="T20" s="105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x14ac:dyDescent="0.25">
      <c r="A21" s="14" t="s">
        <v>51</v>
      </c>
      <c r="B21" s="57">
        <f>112822.56+500</f>
        <v>113322.56</v>
      </c>
      <c r="C21" s="50">
        <f>61060+12842</f>
        <v>73902</v>
      </c>
      <c r="D21" s="50"/>
      <c r="E21" s="50">
        <f t="shared" si="0"/>
        <v>187224.56</v>
      </c>
      <c r="F21" s="14"/>
      <c r="G21" s="14"/>
      <c r="H21" s="14"/>
      <c r="I21" s="14"/>
      <c r="J21" s="14"/>
      <c r="K21" s="14"/>
      <c r="L21" s="14"/>
      <c r="M21" s="14"/>
      <c r="N21" s="14"/>
      <c r="O21" s="105"/>
      <c r="P21" s="105"/>
      <c r="Q21" s="105"/>
      <c r="R21" s="105"/>
      <c r="S21" s="105"/>
      <c r="T21" s="105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x14ac:dyDescent="0.25">
      <c r="A22" s="14" t="s">
        <v>52</v>
      </c>
      <c r="B22" s="57">
        <v>24216.41</v>
      </c>
      <c r="C22" s="50"/>
      <c r="D22" s="50"/>
      <c r="E22" s="50">
        <f t="shared" si="0"/>
        <v>24216.41</v>
      </c>
      <c r="F22" s="14"/>
      <c r="G22" s="14"/>
      <c r="H22" s="14"/>
      <c r="I22" s="14"/>
      <c r="J22" s="14"/>
      <c r="K22" s="14"/>
      <c r="L22" s="14"/>
      <c r="M22" s="14"/>
      <c r="N22" s="14"/>
      <c r="O22" s="105"/>
      <c r="P22" s="105"/>
      <c r="Q22" s="105"/>
      <c r="R22" s="105"/>
      <c r="S22" s="105"/>
      <c r="T22" s="105"/>
      <c r="U22" s="105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x14ac:dyDescent="0.25">
      <c r="A23" s="14" t="s">
        <v>118</v>
      </c>
      <c r="B23" s="57"/>
      <c r="C23" s="72">
        <f>3144.1+5409.93+1405.33+650.24+12943.58+1500+25192.2</f>
        <v>50245.380000000005</v>
      </c>
      <c r="D23" s="50">
        <f>5100.32+2500+5000</f>
        <v>12600.32</v>
      </c>
      <c r="E23" s="50">
        <f t="shared" si="0"/>
        <v>62845.700000000004</v>
      </c>
      <c r="F23" s="14"/>
      <c r="G23" s="14"/>
      <c r="H23" s="14"/>
      <c r="I23" s="14"/>
      <c r="J23" s="14"/>
      <c r="K23" s="14"/>
      <c r="L23" s="14"/>
      <c r="M23" s="14"/>
      <c r="N23" s="14"/>
      <c r="O23" s="105"/>
      <c r="P23" s="105"/>
      <c r="Q23" s="105"/>
      <c r="R23" s="105"/>
      <c r="S23" s="105"/>
      <c r="T23" s="105"/>
      <c r="U23" s="105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x14ac:dyDescent="0.25">
      <c r="A24" s="14" t="s">
        <v>40</v>
      </c>
      <c r="B24" s="57">
        <v>1012.69</v>
      </c>
      <c r="C24" s="57">
        <f>201+7451.19+2850+1900.5+2300+2185+10165.75+2958</f>
        <v>30011.439999999999</v>
      </c>
      <c r="D24" s="50"/>
      <c r="E24" s="50">
        <f t="shared" si="0"/>
        <v>31024.129999999997</v>
      </c>
      <c r="F24" s="14"/>
      <c r="G24" s="14">
        <v>466.49</v>
      </c>
      <c r="H24" s="14"/>
      <c r="I24" s="14"/>
      <c r="J24" s="14"/>
      <c r="K24" s="14"/>
      <c r="L24" s="14"/>
      <c r="M24" s="14"/>
      <c r="N24" s="14"/>
      <c r="O24" s="105"/>
      <c r="P24" s="105"/>
      <c r="Q24" s="105"/>
      <c r="R24" s="105"/>
      <c r="S24" s="105"/>
      <c r="T24" s="105"/>
      <c r="U24" s="10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x14ac:dyDescent="0.25">
      <c r="A25" s="14" t="s">
        <v>53</v>
      </c>
      <c r="B25" s="15">
        <f>28546.66-420</f>
        <v>28126.66</v>
      </c>
      <c r="C25" s="15"/>
      <c r="D25" s="15"/>
      <c r="E25" s="16">
        <f t="shared" si="0"/>
        <v>28126.66</v>
      </c>
      <c r="F25" s="14"/>
      <c r="G25" s="14">
        <v>3531.5</v>
      </c>
      <c r="H25" s="14"/>
      <c r="I25" s="14"/>
      <c r="J25" s="14"/>
      <c r="K25" s="14"/>
      <c r="L25" s="14"/>
      <c r="M25" s="14"/>
      <c r="N25" s="14"/>
      <c r="O25" s="105"/>
      <c r="P25" s="105"/>
      <c r="Q25" s="105"/>
      <c r="R25" s="105"/>
      <c r="S25" s="105"/>
      <c r="T25" s="105"/>
      <c r="U25" s="10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x14ac:dyDescent="0.25">
      <c r="A26" s="59" t="s">
        <v>153</v>
      </c>
      <c r="B26" s="60">
        <f>SUM(B18:B25)</f>
        <v>325604.42999999993</v>
      </c>
      <c r="C26" s="60">
        <f>SUM(C18:C25)</f>
        <v>161062.82</v>
      </c>
      <c r="D26" s="60">
        <f>SUM(D18:D25)</f>
        <v>12600.32</v>
      </c>
      <c r="E26" s="50">
        <f t="shared" si="0"/>
        <v>499267.56999999995</v>
      </c>
      <c r="F26" s="14"/>
      <c r="G26" s="14">
        <v>2735.29</v>
      </c>
      <c r="H26" s="14"/>
      <c r="I26" s="14"/>
      <c r="J26" s="14"/>
      <c r="K26" s="14"/>
      <c r="L26" s="14"/>
      <c r="M26" s="14"/>
      <c r="N26" s="14"/>
      <c r="O26" s="105"/>
      <c r="P26" s="105"/>
      <c r="Q26" s="105"/>
      <c r="R26" s="105"/>
      <c r="S26" s="105"/>
      <c r="T26" s="105"/>
      <c r="U26" s="105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x14ac:dyDescent="0.25">
      <c r="A27" s="56" t="s">
        <v>149</v>
      </c>
      <c r="B27" s="50"/>
      <c r="C27" s="50"/>
      <c r="D27" s="50"/>
      <c r="E27" s="50"/>
      <c r="F27" s="14"/>
      <c r="G27" s="14">
        <v>2829.79</v>
      </c>
      <c r="H27" s="14"/>
      <c r="I27" s="14"/>
      <c r="J27" s="14"/>
      <c r="K27" s="14"/>
      <c r="L27" s="14"/>
      <c r="M27" s="14"/>
      <c r="N27" s="14"/>
      <c r="O27" s="105"/>
      <c r="P27" s="105"/>
      <c r="Q27" s="105"/>
      <c r="R27" s="105"/>
      <c r="S27" s="105"/>
      <c r="T27" s="105"/>
      <c r="U27" s="105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x14ac:dyDescent="0.25">
      <c r="A28" s="14" t="s">
        <v>25</v>
      </c>
      <c r="B28" s="57">
        <v>305880.7</v>
      </c>
      <c r="C28" s="50"/>
      <c r="D28" s="50"/>
      <c r="E28" s="50">
        <f t="shared" si="0"/>
        <v>305880.7</v>
      </c>
      <c r="F28" s="14"/>
      <c r="G28" s="14">
        <v>6087.02</v>
      </c>
      <c r="H28" s="14"/>
      <c r="I28" s="14"/>
      <c r="J28" s="14"/>
      <c r="K28" s="14"/>
      <c r="L28" s="14"/>
      <c r="M28" s="14"/>
      <c r="N28" s="14"/>
      <c r="O28" s="105"/>
      <c r="P28" s="105"/>
      <c r="Q28" s="105"/>
      <c r="R28" s="105"/>
      <c r="S28" s="105"/>
      <c r="T28" s="105"/>
      <c r="U28" s="10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x14ac:dyDescent="0.25">
      <c r="A29" s="14" t="s">
        <v>26</v>
      </c>
      <c r="B29" s="57">
        <v>148265.49</v>
      </c>
      <c r="C29" s="50"/>
      <c r="D29" s="50"/>
      <c r="E29" s="50">
        <f t="shared" si="0"/>
        <v>148265.49</v>
      </c>
      <c r="F29" s="14"/>
      <c r="G29" s="14">
        <v>733.43</v>
      </c>
      <c r="H29" s="14"/>
      <c r="I29" s="14"/>
      <c r="J29" s="14"/>
      <c r="K29" s="14"/>
      <c r="L29" s="14"/>
      <c r="M29" s="14"/>
      <c r="N29" s="14"/>
      <c r="O29" s="105"/>
      <c r="P29" s="105"/>
      <c r="Q29" s="105"/>
      <c r="R29" s="105"/>
      <c r="S29" s="105"/>
      <c r="T29" s="105"/>
      <c r="U29" s="105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x14ac:dyDescent="0.25">
      <c r="A30" s="14" t="s">
        <v>54</v>
      </c>
      <c r="B30" s="57">
        <v>82627.09</v>
      </c>
      <c r="C30" s="50"/>
      <c r="D30" s="50"/>
      <c r="E30" s="50">
        <f t="shared" si="0"/>
        <v>82627.09</v>
      </c>
      <c r="F30" s="14"/>
      <c r="G30" s="14">
        <v>100</v>
      </c>
      <c r="H30" s="14"/>
      <c r="I30" s="14"/>
      <c r="J30" s="14"/>
      <c r="K30" s="14"/>
      <c r="L30" s="14"/>
      <c r="M30" s="14"/>
      <c r="N30" s="14"/>
      <c r="O30" s="105"/>
      <c r="P30" s="105"/>
      <c r="Q30" s="105"/>
      <c r="R30" s="105"/>
      <c r="S30" s="105"/>
      <c r="T30" s="105"/>
      <c r="U30" s="10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x14ac:dyDescent="0.25">
      <c r="A31" s="14" t="s">
        <v>28</v>
      </c>
      <c r="B31" s="57">
        <v>185614.37</v>
      </c>
      <c r="C31" s="50"/>
      <c r="D31" s="50"/>
      <c r="E31" s="50">
        <f t="shared" si="0"/>
        <v>185614.37</v>
      </c>
      <c r="F31" s="14"/>
      <c r="G31" s="14">
        <v>1864.22</v>
      </c>
      <c r="H31" s="14"/>
      <c r="I31" s="14"/>
      <c r="J31" s="14"/>
      <c r="K31" s="14"/>
      <c r="L31" s="14"/>
      <c r="M31" s="14"/>
      <c r="N31" s="14"/>
      <c r="O31" s="105"/>
      <c r="P31" s="105"/>
      <c r="Q31" s="105"/>
      <c r="R31" s="105"/>
      <c r="S31" s="105"/>
      <c r="T31" s="105"/>
      <c r="U31" s="105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x14ac:dyDescent="0.25">
      <c r="A32" s="14" t="s">
        <v>55</v>
      </c>
      <c r="B32" s="61">
        <v>101621.27</v>
      </c>
      <c r="C32" s="16"/>
      <c r="D32" s="16"/>
      <c r="E32" s="16">
        <f t="shared" si="0"/>
        <v>101621.27</v>
      </c>
      <c r="F32" s="14"/>
      <c r="G32" s="14">
        <v>245.81</v>
      </c>
      <c r="H32" s="14"/>
      <c r="I32" s="14"/>
      <c r="J32" s="14"/>
      <c r="K32" s="14"/>
      <c r="L32" s="14"/>
      <c r="M32" s="14"/>
      <c r="N32" s="14"/>
      <c r="O32" s="105"/>
      <c r="P32" s="105"/>
      <c r="Q32" s="105"/>
      <c r="R32" s="105"/>
      <c r="S32" s="105"/>
      <c r="T32" s="105"/>
      <c r="U32" s="105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38" x14ac:dyDescent="0.25">
      <c r="A33" s="59" t="s">
        <v>154</v>
      </c>
      <c r="B33" s="15">
        <f>SUM(B28:B32)</f>
        <v>824008.92</v>
      </c>
      <c r="C33" s="15">
        <f>SUM(C28:C32)</f>
        <v>0</v>
      </c>
      <c r="D33" s="15">
        <f>SUM(D28:D32)</f>
        <v>0</v>
      </c>
      <c r="E33" s="15">
        <f t="shared" si="0"/>
        <v>824008.92</v>
      </c>
      <c r="F33" s="14"/>
      <c r="G33" s="14">
        <f>SUM(G24:G32)</f>
        <v>18593.550000000003</v>
      </c>
      <c r="H33" s="14"/>
      <c r="I33" s="14"/>
      <c r="J33" s="14"/>
      <c r="K33" s="14"/>
      <c r="L33" s="14"/>
      <c r="M33" s="14"/>
      <c r="N33" s="14"/>
      <c r="O33" s="105"/>
      <c r="P33" s="105"/>
      <c r="Q33" s="105"/>
      <c r="R33" s="105"/>
      <c r="S33" s="105"/>
      <c r="T33" s="105"/>
      <c r="U33" s="105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hidden="1" x14ac:dyDescent="0.25">
      <c r="A34" s="59"/>
      <c r="B34" s="50">
        <v>0</v>
      </c>
      <c r="C34" s="50">
        <v>0</v>
      </c>
      <c r="D34" s="50"/>
      <c r="E34" s="16">
        <v>0</v>
      </c>
      <c r="F34" s="11" t="s">
        <v>56</v>
      </c>
      <c r="G34" s="14"/>
      <c r="H34" s="14"/>
      <c r="I34" s="14"/>
      <c r="J34" s="14"/>
      <c r="K34" s="14"/>
      <c r="L34" s="14"/>
      <c r="M34" s="14"/>
      <c r="N34" s="14"/>
      <c r="O34" s="105"/>
      <c r="P34" s="105"/>
      <c r="Q34" s="105"/>
      <c r="R34" s="105"/>
      <c r="S34" s="105"/>
      <c r="T34" s="105"/>
      <c r="U34" s="105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ht="15.75" thickBot="1" x14ac:dyDescent="0.3">
      <c r="A35" s="59" t="s">
        <v>57</v>
      </c>
      <c r="B35" s="62">
        <f>+B33+B26+B16+B34</f>
        <v>1195753.79</v>
      </c>
      <c r="C35" s="62">
        <f>+C33+C26+C16+C34</f>
        <v>272736.86</v>
      </c>
      <c r="D35" s="62">
        <f>+D33+D26+D16+D34</f>
        <v>43100.32</v>
      </c>
      <c r="E35" s="62">
        <f>+E33+E26+E16+E34</f>
        <v>1511590.97</v>
      </c>
      <c r="F35" s="11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05"/>
      <c r="T35" s="105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x14ac:dyDescent="0.25">
      <c r="A36" s="17" t="s">
        <v>29</v>
      </c>
      <c r="B36" s="15">
        <f>+B9-B35</f>
        <v>931.22999999998137</v>
      </c>
      <c r="C36" s="15">
        <f>+C9-C35</f>
        <v>74391.800000000047</v>
      </c>
      <c r="D36" s="15">
        <f>+D9-D35</f>
        <v>95500.219999999972</v>
      </c>
      <c r="E36" s="15">
        <f t="shared" ref="E36:E41" si="1">SUM(B36:D36)</f>
        <v>170823.25</v>
      </c>
      <c r="F36" s="11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05"/>
      <c r="T36" s="105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x14ac:dyDescent="0.25">
      <c r="A37" s="17" t="s">
        <v>30</v>
      </c>
      <c r="B37" s="15">
        <f>500+149836.14</f>
        <v>150336.14000000001</v>
      </c>
      <c r="C37" s="15"/>
      <c r="D37" s="15">
        <v>-3000</v>
      </c>
      <c r="E37" s="15">
        <f t="shared" si="1"/>
        <v>147336.14000000001</v>
      </c>
      <c r="F37" s="11"/>
      <c r="G37" s="14">
        <f>164532.09+9868.8</f>
        <v>174400.88999999998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05"/>
      <c r="T37" s="105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x14ac:dyDescent="0.25">
      <c r="A38" s="17" t="s">
        <v>31</v>
      </c>
      <c r="B38" s="16">
        <v>-269433.84000000003</v>
      </c>
      <c r="C38" s="16"/>
      <c r="D38" s="16"/>
      <c r="E38" s="16">
        <f t="shared" si="1"/>
        <v>-269433.84000000003</v>
      </c>
      <c r="F38" s="11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05"/>
      <c r="T38" s="10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x14ac:dyDescent="0.25">
      <c r="A39" s="17" t="s">
        <v>32</v>
      </c>
      <c r="B39" s="15">
        <f>SUM(B36:B38)</f>
        <v>-118166.47000000003</v>
      </c>
      <c r="C39" s="15">
        <f>SUM(C36:C38)</f>
        <v>74391.800000000047</v>
      </c>
      <c r="D39" s="15">
        <f>SUM(D36:D38)</f>
        <v>92500.219999999972</v>
      </c>
      <c r="E39" s="15">
        <f t="shared" si="1"/>
        <v>48725.549999999988</v>
      </c>
      <c r="F39" s="11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05"/>
      <c r="T39" s="10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x14ac:dyDescent="0.25">
      <c r="A40" s="17" t="s">
        <v>155</v>
      </c>
      <c r="B40" s="16">
        <v>2724684.32</v>
      </c>
      <c r="C40" s="97">
        <v>161207.71</v>
      </c>
      <c r="D40" s="97">
        <v>1123543.74</v>
      </c>
      <c r="E40" s="15">
        <f t="shared" si="1"/>
        <v>4009435.7699999996</v>
      </c>
      <c r="F40" s="11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05"/>
      <c r="T40" s="105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s="14" customFormat="1" ht="15.75" thickBot="1" x14ac:dyDescent="0.3">
      <c r="A41" s="17" t="s">
        <v>167</v>
      </c>
      <c r="B41" s="103">
        <f>+B40+B39</f>
        <v>2606517.8499999996</v>
      </c>
      <c r="C41" s="103">
        <f>SUM(C39:C40)</f>
        <v>235599.51000000004</v>
      </c>
      <c r="D41" s="103">
        <f>SUM(D39:D40)</f>
        <v>1216043.96</v>
      </c>
      <c r="E41" s="103">
        <f t="shared" si="1"/>
        <v>4058161.32</v>
      </c>
      <c r="F41" s="11"/>
      <c r="S41" s="105"/>
      <c r="T41" s="105"/>
    </row>
    <row r="42" spans="1:38" ht="15.75" thickTop="1" x14ac:dyDescent="0.25">
      <c r="A42" s="17"/>
      <c r="B42" s="50"/>
      <c r="C42" s="50"/>
      <c r="D42" s="50"/>
      <c r="E42" s="50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05"/>
      <c r="T42" s="105"/>
      <c r="U42" s="14"/>
      <c r="V42" s="14"/>
      <c r="W42" s="14"/>
      <c r="X42" s="14"/>
      <c r="Y42" s="14"/>
      <c r="Z42" s="14"/>
      <c r="AA42" s="14"/>
      <c r="AB42" s="14"/>
    </row>
    <row r="43" spans="1:38" ht="15.75" x14ac:dyDescent="0.25">
      <c r="A43" s="14"/>
      <c r="B43" s="18"/>
      <c r="C43" s="18"/>
      <c r="D43" s="18"/>
      <c r="E43" s="18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05"/>
      <c r="T43" s="105"/>
      <c r="U43" s="14"/>
      <c r="V43" s="14"/>
      <c r="W43" s="14"/>
      <c r="X43" s="14"/>
      <c r="Y43" s="14"/>
      <c r="Z43" s="14"/>
      <c r="AA43" s="14"/>
      <c r="AB43" s="14"/>
    </row>
    <row r="44" spans="1:38" ht="15.75" x14ac:dyDescent="0.25">
      <c r="A44" s="6" t="s">
        <v>116</v>
      </c>
      <c r="B44" s="18"/>
      <c r="C44" s="18"/>
      <c r="D44" s="18"/>
      <c r="E44" s="18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05"/>
      <c r="T44" s="105"/>
      <c r="U44" s="14"/>
      <c r="V44" s="14"/>
      <c r="W44" s="14"/>
    </row>
    <row r="45" spans="1:38" x14ac:dyDescent="0.25">
      <c r="B45" s="15"/>
      <c r="C45" s="15"/>
      <c r="D45" s="63"/>
      <c r="E45" s="6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05"/>
      <c r="T45" s="105"/>
      <c r="U45" s="14"/>
      <c r="V45" s="14"/>
      <c r="W45" s="14"/>
    </row>
    <row r="46" spans="1:38" x14ac:dyDescent="0.25">
      <c r="B46" s="50"/>
      <c r="C46" s="50"/>
      <c r="D46" s="53"/>
      <c r="E46" s="5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05"/>
      <c r="T46" s="105"/>
      <c r="U46" s="14"/>
      <c r="V46" s="14"/>
      <c r="W46" s="14"/>
    </row>
    <row r="47" spans="1:38" x14ac:dyDescent="0.25">
      <c r="B47" s="50"/>
      <c r="C47" s="50"/>
      <c r="D47" s="50"/>
      <c r="E47" s="50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05"/>
      <c r="T47" s="105"/>
      <c r="U47" s="14"/>
      <c r="V47" s="14"/>
      <c r="W47" s="14"/>
    </row>
    <row r="48" spans="1:38" x14ac:dyDescent="0.25">
      <c r="B48" s="50"/>
      <c r="C48" s="50"/>
      <c r="D48" s="50"/>
      <c r="E48" s="50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05"/>
      <c r="T48" s="105"/>
      <c r="U48" s="14"/>
      <c r="V48" s="14"/>
      <c r="W48" s="14"/>
    </row>
    <row r="49" spans="2:23" x14ac:dyDescent="0.25">
      <c r="B49" s="50"/>
      <c r="C49" s="50"/>
      <c r="D49" s="50"/>
      <c r="E49" s="5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05"/>
      <c r="T49" s="105"/>
      <c r="U49" s="14"/>
      <c r="V49" s="14"/>
      <c r="W49" s="14"/>
    </row>
    <row r="50" spans="2:23" x14ac:dyDescent="0.25">
      <c r="B50" s="50"/>
      <c r="C50" s="50"/>
      <c r="D50" s="50"/>
      <c r="E50" s="5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05"/>
      <c r="T50" s="105"/>
      <c r="U50" s="14"/>
      <c r="V50" s="14"/>
      <c r="W50" s="14"/>
    </row>
    <row r="51" spans="2:23" x14ac:dyDescent="0.25">
      <c r="B51" s="50"/>
      <c r="C51" s="50"/>
      <c r="D51" s="50"/>
      <c r="E51" s="5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05"/>
      <c r="T51" s="105"/>
      <c r="U51" s="14"/>
      <c r="V51" s="14"/>
      <c r="W51" s="14"/>
    </row>
    <row r="52" spans="2:23" x14ac:dyDescent="0.25">
      <c r="B52" s="50"/>
      <c r="C52" s="50"/>
      <c r="D52" s="50"/>
      <c r="E52" s="5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05"/>
      <c r="T52" s="105"/>
      <c r="U52" s="14"/>
      <c r="V52" s="14"/>
      <c r="W52" s="14"/>
    </row>
    <row r="53" spans="2:23" x14ac:dyDescent="0.25">
      <c r="B53" s="50"/>
      <c r="C53" s="50"/>
      <c r="D53" s="50"/>
      <c r="E53" s="5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05"/>
      <c r="T53" s="105"/>
      <c r="U53" s="14"/>
      <c r="V53" s="14"/>
      <c r="W53" s="14"/>
    </row>
    <row r="54" spans="2:23" x14ac:dyDescent="0.25">
      <c r="B54" s="50"/>
      <c r="C54" s="50"/>
      <c r="D54" s="50"/>
      <c r="E54" s="5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05"/>
      <c r="T54" s="105"/>
      <c r="U54" s="14"/>
      <c r="V54" s="14"/>
      <c r="W54" s="14"/>
    </row>
    <row r="55" spans="2:23" x14ac:dyDescent="0.25">
      <c r="B55" s="50"/>
      <c r="C55" s="50"/>
      <c r="D55" s="50"/>
      <c r="E55" s="5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05"/>
      <c r="T55" s="105"/>
      <c r="U55" s="14"/>
      <c r="V55" s="14"/>
      <c r="W55" s="14"/>
    </row>
    <row r="56" spans="2:23" x14ac:dyDescent="0.25">
      <c r="B56" s="50"/>
      <c r="C56" s="50"/>
      <c r="D56" s="50"/>
      <c r="E56" s="5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05"/>
      <c r="T56" s="105"/>
      <c r="U56" s="14"/>
      <c r="V56" s="14"/>
      <c r="W56" s="14"/>
    </row>
    <row r="57" spans="2:23" x14ac:dyDescent="0.25">
      <c r="S57" s="105"/>
      <c r="T57" s="105"/>
    </row>
    <row r="58" spans="2:23" x14ac:dyDescent="0.25">
      <c r="S58" s="105"/>
      <c r="T58" s="105"/>
    </row>
    <row r="59" spans="2:23" x14ac:dyDescent="0.25">
      <c r="S59" s="105"/>
      <c r="T59" s="105"/>
    </row>
    <row r="60" spans="2:23" x14ac:dyDescent="0.25">
      <c r="S60" s="105"/>
      <c r="T60" s="105"/>
    </row>
    <row r="61" spans="2:23" x14ac:dyDescent="0.25">
      <c r="S61" s="105"/>
      <c r="T61" s="105"/>
    </row>
    <row r="62" spans="2:23" x14ac:dyDescent="0.25">
      <c r="S62" s="105"/>
      <c r="T62" s="105"/>
    </row>
    <row r="63" spans="2:23" x14ac:dyDescent="0.25">
      <c r="S63" s="106"/>
      <c r="T63" s="106"/>
    </row>
  </sheetData>
  <pageMargins left="0.7" right="0.7" top="0.75" bottom="0.75" header="0.3" footer="0.3"/>
  <pageSetup scale="69" orientation="portrait" horizontalDpi="4294967293" r:id="rId1"/>
  <headerFooter>
    <oddHeader xml:space="preserve">&amp;L
&amp;CFirst Unitarian Universalist Congregation of Ann Arbor
Year to Date Statement of Activities as of 
December 31, 2020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Fund Budget Vs. Actual</vt:lpstr>
      <vt:lpstr>General Fund Detail</vt:lpstr>
      <vt:lpstr>Statement of Financial Position</vt:lpstr>
      <vt:lpstr>Statement of Activities</vt:lpstr>
      <vt:lpstr>Sheet5</vt:lpstr>
      <vt:lpstr>'General Fund Detail'!Print_Titles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SUE</dc:creator>
  <cp:lastModifiedBy>Staff</cp:lastModifiedBy>
  <cp:lastPrinted>2021-05-12T18:59:18Z</cp:lastPrinted>
  <dcterms:created xsi:type="dcterms:W3CDTF">2014-10-11T18:12:37Z</dcterms:created>
  <dcterms:modified xsi:type="dcterms:W3CDTF">2021-05-12T19:00:04Z</dcterms:modified>
</cp:coreProperties>
</file>